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704" windowHeight="7020" activeTab="1"/>
  </bookViews>
  <sheets>
    <sheet name="data" sheetId="1" r:id="rId1"/>
    <sheet name="graphs" sheetId="2" r:id="rId2"/>
    <sheet name="corr" sheetId="3" r:id="rId3"/>
    <sheet name="regr" sheetId="4" r:id="rId4"/>
  </sheets>
  <definedNames>
    <definedName name="HTML_CodePage" hidden="1">1252</definedName>
    <definedName name="HTML_Control" hidden="1">{"'data'!$A$1:$O$233"}</definedName>
    <definedName name="HTML_Description" hidden="1">""</definedName>
    <definedName name="HTML_Email" hidden="1">"fuel@BoatWakes.info"</definedName>
    <definedName name="HTML_Header" hidden="1">""</definedName>
    <definedName name="HTML_LastUpdate" hidden="1">"4/24/2008"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"C:\Program Files\Homestead\Homestead Professional\Homesteads\_1751630654\files\fuel.htm"</definedName>
    <definedName name="HTML_Title" hidden="1">"fuel"</definedName>
    <definedName name="_xlnm.Print_Area" localSheetId="3">'regr'!$A:$IV</definedName>
    <definedName name="TABLE" localSheetId="0">'data'!$A$5:$A$5</definedName>
    <definedName name="TABLE">'data'!$A$3:$N$152</definedName>
    <definedName name="TABLE_10" localSheetId="0">'data'!$A$7:$A$7</definedName>
    <definedName name="TABLE_11" localSheetId="0">'data'!$A$7:$A$7</definedName>
    <definedName name="TABLE_12" localSheetId="0">'data'!$A$7:$A$7</definedName>
    <definedName name="TABLE_13" localSheetId="0">'data'!$M$7:$M$7</definedName>
    <definedName name="TABLE_14" localSheetId="0">'data'!$M$7:$M$7</definedName>
    <definedName name="TABLE_15" localSheetId="0">'data'!$M$7:$M$7</definedName>
    <definedName name="TABLE_16" localSheetId="0">'data'!$M$5:$M$5</definedName>
    <definedName name="TABLE_17" localSheetId="0">'data'!$M$6:$M$18</definedName>
    <definedName name="TABLE_18" localSheetId="0">'data'!$M$6:$M$18</definedName>
    <definedName name="TABLE_19" localSheetId="0">'data'!$M$6:$M$6</definedName>
    <definedName name="TABLE_2" localSheetId="0">'data'!$A$5:$A$5</definedName>
    <definedName name="TABLE_20" localSheetId="0">'data'!$M$16:$M$17</definedName>
    <definedName name="TABLE_21" localSheetId="0">'data'!$M$16:$M$17</definedName>
    <definedName name="TABLE_22" localSheetId="0">'data'!$A$8:$A$8</definedName>
    <definedName name="TABLE_23" localSheetId="0">'data'!$A$8:$A$8</definedName>
    <definedName name="TABLE_24" localSheetId="0">'data'!$A$8:$A$8</definedName>
    <definedName name="TABLE_25" localSheetId="0">'data'!$M$8:$M$8</definedName>
    <definedName name="TABLE_26" localSheetId="0">'data'!$M$8:$M$8</definedName>
    <definedName name="TABLE_27" localSheetId="0">'data'!$M$8:$M$8</definedName>
    <definedName name="TABLE_28" localSheetId="0">'data'!$A$18:$A$18</definedName>
    <definedName name="TABLE_29" localSheetId="0">'data'!$A$18:$A$18</definedName>
    <definedName name="TABLE_3" localSheetId="0">'data'!$A$5:$A$5</definedName>
    <definedName name="TABLE_30" localSheetId="0">'data'!$A$18:$A$18</definedName>
    <definedName name="TABLE_31" localSheetId="0">'data'!$M$18:$M$18</definedName>
    <definedName name="TABLE_32" localSheetId="0">'data'!$M$18:$M$18</definedName>
    <definedName name="TABLE_33" localSheetId="0">'data'!$M$18:$M$18</definedName>
    <definedName name="TABLE_34" localSheetId="0">'data'!$A$19:$A$19</definedName>
    <definedName name="TABLE_35" localSheetId="0">'data'!$A$19:$A$19</definedName>
    <definedName name="TABLE_36" localSheetId="0">'data'!$A$19:$A$19</definedName>
    <definedName name="TABLE_37" localSheetId="0">'data'!$M$19:$M$19</definedName>
    <definedName name="TABLE_38" localSheetId="0">'data'!$M$19:$M$19</definedName>
    <definedName name="TABLE_39" localSheetId="0">'data'!$M$19:$M$19</definedName>
    <definedName name="TABLE_4" localSheetId="0">'data'!$A$6:$A$6</definedName>
    <definedName name="TABLE_5" localSheetId="0">'data'!$A$6:$A$6</definedName>
    <definedName name="TABLE_6" localSheetId="0">'data'!$A$6:$A$6</definedName>
    <definedName name="TABLE_7" localSheetId="0">'data'!#REF!</definedName>
    <definedName name="TABLE_8" localSheetId="0">'data'!#REF!</definedName>
    <definedName name="TABLE_9" localSheetId="0">'data'!#REF!</definedName>
  </definedNames>
  <calcPr fullCalcOnLoad="1"/>
</workbook>
</file>

<file path=xl/sharedStrings.xml><?xml version="1.0" encoding="utf-8"?>
<sst xmlns="http://schemas.openxmlformats.org/spreadsheetml/2006/main" count="1005" uniqueCount="215">
  <si>
    <t>Engine</t>
  </si>
  <si>
    <t>Source</t>
  </si>
  <si>
    <t>420-hp Yanmar diesel</t>
  </si>
  <si>
    <t>34Z Downeast Dayrunner</t>
  </si>
  <si>
    <t>Chesapeake Bay, 2/04</t>
  </si>
  <si>
    <t>Yanmar 315 hp 24-valve Diesel</t>
  </si>
  <si>
    <t>Back Cove 29</t>
  </si>
  <si>
    <t>Chesapeake Bay, 1/04</t>
  </si>
  <si>
    <t>twin 500 HP MAN Diesels</t>
  </si>
  <si>
    <t>Bayliner 5788 Pilot House Motor Yacht</t>
  </si>
  <si>
    <t>Chesapeake Bay, 8/00</t>
  </si>
  <si>
    <t>twin Yanmar 420hp diesels</t>
  </si>
  <si>
    <t>Belkov 42 Express</t>
  </si>
  <si>
    <t>Chesapeake Bay, 12/01</t>
  </si>
  <si>
    <t>Twin Volvo 5.7 GXi 315 hp gas engines</t>
  </si>
  <si>
    <t>Carver 360 Sport Sedan</t>
  </si>
  <si>
    <t>Chesapeake Bay, 12/02</t>
  </si>
  <si>
    <t>twin Volvo D12-712-hp diesels</t>
  </si>
  <si>
    <t>Cruisers 500 Express</t>
  </si>
  <si>
    <t>Chesapeake Bay, 2/05</t>
  </si>
  <si>
    <t>twin Caterpillar 3406E 800BHP diesels</t>
  </si>
  <si>
    <t>Davis 50 Sportfisherman</t>
  </si>
  <si>
    <t>Chesapeake Bay, 2/00</t>
  </si>
  <si>
    <t>Twin Yamaha 250s</t>
  </si>
  <si>
    <t>EdgeWater 318 CC</t>
  </si>
  <si>
    <t>Chesapeake Bay, 2/07</t>
  </si>
  <si>
    <t>twin Honda 130hp four stroke outboards</t>
  </si>
  <si>
    <t>Glacier Bay Island Runner 2670</t>
  </si>
  <si>
    <t>Chesapeake Bay, 11/02</t>
  </si>
  <si>
    <t xml:space="preserve">Twin Yamaha 225hp outboard </t>
  </si>
  <si>
    <t>Grady-White Chase 273</t>
  </si>
  <si>
    <t>Chesapeake Bay, 3/02</t>
  </si>
  <si>
    <t>twin Yamaha 250hp outboard</t>
  </si>
  <si>
    <t>Grady-White Marlin 300</t>
  </si>
  <si>
    <t>Chesapeake Bay, 9/01</t>
  </si>
  <si>
    <t>2 Caterpillar 3028 450 hp diesels</t>
  </si>
  <si>
    <t>Grand Alaskan 53</t>
  </si>
  <si>
    <t>Chesapeake Bay, 8/02</t>
  </si>
  <si>
    <t>twin Yanmar 56hp diesels</t>
  </si>
  <si>
    <t>Great Harbour N37</t>
  </si>
  <si>
    <t>twin Yanmar 240-hp diesels</t>
  </si>
  <si>
    <t>Luhrs 28 Open</t>
  </si>
  <si>
    <t>Chesapeake Bay, 7/02</t>
  </si>
  <si>
    <t>Cummins 425-hp diesel</t>
  </si>
  <si>
    <t>Mariner 35 Seville Sedan</t>
  </si>
  <si>
    <t>twin 7.4 liter MPI MerCruiser gas inboards with V-Drives</t>
  </si>
  <si>
    <t>Maxum 3500 SCR</t>
  </si>
  <si>
    <t>Chesapeake Bay, 4/01</t>
  </si>
  <si>
    <t>twin Cummins 480-hp C-series diesels</t>
  </si>
  <si>
    <t>Nauset 38 Sport Fisherman</t>
  </si>
  <si>
    <t>Chesapeake Bay, 12/04</t>
  </si>
  <si>
    <t>single 330 HP Cummins diesel</t>
  </si>
  <si>
    <t>Nordic Tug 37</t>
  </si>
  <si>
    <t>Chesapeake Bay, 5/04</t>
  </si>
  <si>
    <t xml:space="preserve">Twin 120hp MerCruiser diesel inboard with Alph out drive </t>
  </si>
  <si>
    <t>ProKat 2660 WA</t>
  </si>
  <si>
    <t>Chesapeake Bay, 4/02</t>
  </si>
  <si>
    <t>twin Volvo KAMD 300 IB diesels</t>
  </si>
  <si>
    <t>Pursuit 3000 Offshore</t>
  </si>
  <si>
    <t>Chesapeake Bay, 4/03</t>
  </si>
  <si>
    <t>Pursuit 3370 Flybridge</t>
  </si>
  <si>
    <t xml:space="preserve">Twin 465hp Yanmar  </t>
  </si>
  <si>
    <t>Sabreline 47</t>
  </si>
  <si>
    <t>Chesapeake Bay, 1/03</t>
  </si>
  <si>
    <t>twin 225 hp EFI four-stroke Yamaha outboards</t>
  </si>
  <si>
    <t>Scout 280 Sportfish Offshore</t>
  </si>
  <si>
    <t>Chesapeake Bay, 9/02</t>
  </si>
  <si>
    <t>Tiara 3200 Open</t>
  </si>
  <si>
    <t>Chesapeake Bay, 12/03</t>
  </si>
  <si>
    <t>Tiara 440 Sovran</t>
  </si>
  <si>
    <t>Chesapeake Bay, 1/05</t>
  </si>
  <si>
    <t>twin MAN 1050HP diesel</t>
  </si>
  <si>
    <t>Viking 50 Convertible</t>
  </si>
  <si>
    <t>Chesapeake Bay, 1/00</t>
  </si>
  <si>
    <t>Twin Yanmar 260 diesels</t>
  </si>
  <si>
    <t>PDQ 41 Power Catamaran</t>
  </si>
  <si>
    <t>http://cbmmag.net/</t>
  </si>
  <si>
    <t>Volvo D3 diesel with DuoProb outdrive</t>
  </si>
  <si>
    <t>Rosborough RF 246 Sedan Cruiser</t>
  </si>
  <si>
    <t>Twin MerCruiser 260</t>
  </si>
  <si>
    <t>Tiara 2700</t>
  </si>
  <si>
    <t>D6 370 Volvo Penta</t>
  </si>
  <si>
    <t>Albin 26</t>
  </si>
  <si>
    <t>Chesapeake Bay, 10/06, p.42</t>
  </si>
  <si>
    <t>Volvo-Penta 8.1 GXi Dual Prop</t>
  </si>
  <si>
    <t>Chaparral 276 Ssi</t>
  </si>
  <si>
    <t>http://www.boatinglife.com/article_content.jsp?ID=41704</t>
  </si>
  <si>
    <t>MerCruiser 350 Mag Alpha Drive</t>
  </si>
  <si>
    <t>Rinker 246 Cuddy</t>
  </si>
  <si>
    <t>Suzuki twin 250s</t>
  </si>
  <si>
    <t>2800 Pursuit</t>
  </si>
  <si>
    <t>http://www.jimbaughoutdoors.com/boatTEST.htm</t>
  </si>
  <si>
    <t>Suzuki twin 225s</t>
  </si>
  <si>
    <t>Suzuki twin 140s</t>
  </si>
  <si>
    <t>http://www.boatinglife.com/article_content.jsp?ID=50049&amp;typeID=103&amp;categoryID=122</t>
  </si>
  <si>
    <t>Crownline 340 CR</t>
  </si>
  <si>
    <t>http://www.boatinglife.com/article_content.jsp?ID=43818&amp;typeID=103&amp;categoryID=165</t>
  </si>
  <si>
    <t>Polar 2700 WA</t>
  </si>
  <si>
    <t>Princecraft Pro 165 SC</t>
  </si>
  <si>
    <t>Mercury 60ELPT EFI 4-stroke</t>
  </si>
  <si>
    <t>MerCruiser 496 Mag Bravo III</t>
  </si>
  <si>
    <t>Twin Yamaha 150 TXR</t>
  </si>
  <si>
    <t>Sugar Sand Tango Super Sport</t>
  </si>
  <si>
    <t>200-hp OptiMax Mercury Sport Jet</t>
  </si>
  <si>
    <t>http://www.boatinglife.com/article_content.jsp?ID=40097&amp;typeID=103&amp;categoryID=122</t>
  </si>
  <si>
    <t>http://www.boatinglife.com/article_content.jsp?ID=40081&amp;typeID=103&amp;categoryID=122</t>
  </si>
  <si>
    <t>http://www.boatinglife.com/article_content.jsp?ID=40133&amp;typeID=103&amp;categoryID=122</t>
  </si>
  <si>
    <t>Manitou 24 Legacy</t>
  </si>
  <si>
    <t>MerCruiser 350 MAG MPI 300 hp Bravo 3</t>
  </si>
  <si>
    <t>http://www.boatinglife.com/article_content.jsp?ID=8531&amp;typeID=103&amp;categoryID=122</t>
  </si>
  <si>
    <t>Yamaha SR230</t>
  </si>
  <si>
    <t>twin 140-horsepower, dual overhead cam four-stroke jet drives</t>
  </si>
  <si>
    <t>Boating Life, 2/22/07</t>
  </si>
  <si>
    <t>Boating Life, 8/24/06</t>
  </si>
  <si>
    <t>Boating Life, 11/30/05</t>
  </si>
  <si>
    <t>Boating Life, 4/1/03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</si>
  <si>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</si>
  <si>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</si>
  <si>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</si>
  <si>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</si>
  <si>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</si>
  <si>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</si>
  <si>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</si>
  <si>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</si>
  <si>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</si>
  <si>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</si>
  <si>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</si>
  <si>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</si>
  <si>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</si>
  <si>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</si>
  <si>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</si>
  <si>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</si>
  <si>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</si>
  <si>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</si>
  <si>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</si>
  <si>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</si>
  <si>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</si>
  <si>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</si>
  <si>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</si>
  <si>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</si>
  <si>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MPH</t>
  </si>
  <si>
    <t>twin Yamaha 300 HPDI two-stroke outboards</t>
  </si>
  <si>
    <t>Boating Life, 4/06</t>
  </si>
  <si>
    <t>Chesapeake Bay, 1/07, p.26</t>
  </si>
  <si>
    <t>Chesapeake Bay, 10/06, p.36</t>
  </si>
  <si>
    <t>Jim Baugh Outdoors</t>
  </si>
  <si>
    <t>1/sq.rt. Displace- ment</t>
  </si>
  <si>
    <t>Beam</t>
  </si>
  <si>
    <t>Draft</t>
  </si>
  <si>
    <t>Miles per Hour</t>
  </si>
  <si>
    <t>Knots</t>
  </si>
  <si>
    <t>Gallons per Hour</t>
  </si>
  <si>
    <t>Gallons per Mile</t>
  </si>
  <si>
    <t>Displace- ment (pounds)</t>
  </si>
  <si>
    <t>SORTED BY Length: LOA (feet)</t>
  </si>
  <si>
    <t>mph</t>
  </si>
  <si>
    <t>gph</t>
  </si>
  <si>
    <t>Boston Whaler 220 Dauntless</t>
  </si>
  <si>
    <t>Mercury 225 OptiMax</t>
  </si>
  <si>
    <t>Nov'03</t>
  </si>
  <si>
    <t>Boston Whaler 190 Montauk</t>
  </si>
  <si>
    <t>Mercury 115</t>
  </si>
  <si>
    <t>Feb'06</t>
  </si>
  <si>
    <t>Boston Whaler 210 Ventura</t>
  </si>
  <si>
    <t>May'04</t>
  </si>
  <si>
    <t>Boston Whaler 180 Ventura</t>
  </si>
  <si>
    <t>Mercury 135 OptiMax</t>
  </si>
  <si>
    <t>Mar'01</t>
  </si>
  <si>
    <t>Boston Whaler 320 Outrage</t>
  </si>
  <si>
    <t>Twin Mercury 225</t>
  </si>
  <si>
    <t>Mar'03</t>
  </si>
  <si>
    <t>Boston Whaler 190 Outrage</t>
  </si>
  <si>
    <t>Feb'03</t>
  </si>
  <si>
    <t>Boston Whaler 205 Conquest</t>
  </si>
  <si>
    <t>Mercury 150 OptiMax</t>
  </si>
  <si>
    <t>Jul'04</t>
  </si>
  <si>
    <t>Boston Whaler 305 Conquest</t>
  </si>
  <si>
    <t>Oct'03</t>
  </si>
  <si>
    <t>C Dory TomCat 255</t>
  </si>
  <si>
    <t>Twin 150-hp Honda BF 150 four-stroke outboards</t>
  </si>
  <si>
    <t>http://www.motorboating.com/motorboat/seatrials/article/0,12696,1192396,00.html</t>
  </si>
  <si>
    <t>bostonwhaler.com</t>
  </si>
  <si>
    <t>Motor Boating Apr'07</t>
  </si>
  <si>
    <t>LOA</t>
  </si>
  <si>
    <t>loa^2</t>
  </si>
  <si>
    <t>Square of LOA</t>
  </si>
  <si>
    <t>Displacement (pounds)</t>
  </si>
  <si>
    <t>1/sq.rt. Displacement</t>
  </si>
  <si>
    <t>Length: LOA (feet)</t>
  </si>
  <si>
    <t>Miles per Gallon</t>
  </si>
  <si>
    <t>ITEMS WHICH MEASURE SIZE OF THE BOAT</t>
  </si>
  <si>
    <t>ITEMS WHICH MEASURE SPEED</t>
  </si>
  <si>
    <t>ITEMS WHICH MEASURE FUEL USE</t>
  </si>
  <si>
    <t>FUEL EFFICIENCY OF BOATS</t>
  </si>
  <si>
    <t>from speed (mph) and square of length. It is not surprising that the square of length fits the data much better than</t>
  </si>
  <si>
    <t>length itself, since the square relates to the boat's surface area &amp; correlates with weight better than linear length.</t>
  </si>
  <si>
    <t>Other regressions have similar R-squared, but worse outliers.</t>
  </si>
  <si>
    <t>This equation fits the data well. It has good estimates &amp; unbiased outliers. It calculates gallons per hour (gph)</t>
  </si>
  <si>
    <t>Home page</t>
  </si>
  <si>
    <t>Displacement works nearly as well, but is inconsistent, since it depends on the weight of fuel, passengers &amp; gear aboard.</t>
  </si>
  <si>
    <t>Sample graphs</t>
  </si>
  <si>
    <t>REGRESSION FORMULA DERIVED FROM DATA</t>
  </si>
  <si>
    <t>CORRELATIONS</t>
  </si>
  <si>
    <t>pred. gph</t>
  </si>
  <si>
    <t xml:space="preserve">Gallons per hour = </t>
  </si>
  <si>
    <t>+</t>
  </si>
  <si>
    <t>times speed +</t>
  </si>
  <si>
    <t>times length squared</t>
  </si>
  <si>
    <t>GPH</t>
  </si>
  <si>
    <t>show that miles per gallon are nonlinear with speed, but gallons per hour (used here) are more linear.</t>
  </si>
  <si>
    <t>Click for GRAPH of miles per gallon</t>
  </si>
  <si>
    <t>Miles per Gallon (= mph / gph)</t>
  </si>
  <si>
    <t>Displace- ment (pounds; varies with fuel, passengers +gear)</t>
  </si>
  <si>
    <t>Click_for_EXCEL_table_&amp;_ graphs. Formula to estimate Gallons per Hour for other boats is on Regr tab.</t>
  </si>
  <si>
    <t>Text page_is_fuel.BoatWakes.org</t>
  </si>
</sst>
</file>

<file path=xl/styles.xml><?xml version="1.0" encoding="utf-8"?>
<styleSheet xmlns="http://schemas.openxmlformats.org/spreadsheetml/2006/main">
  <numFmts count="7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&quot;$&quot;#,##0.0_);\(&quot;$&quot;#,##0.0\)"/>
    <numFmt numFmtId="178" formatCode="&quot;$&quot;#,##0.000_);\(&quot;$&quot;#,##0.000\)"/>
    <numFmt numFmtId="179" formatCode="&quot;$&quot;#,##0.0000_);\(&quot;$&quot;#,##0.0000\)"/>
    <numFmt numFmtId="180" formatCode="&quot;$&quot;#,##0.00000_);\(&quot;$&quot;#,##0.00000\)"/>
    <numFmt numFmtId="181" formatCode="&quot;$&quot;#,##0.000000_);\(&quot;$&quot;#,##0.000000\)"/>
    <numFmt numFmtId="182" formatCode="&quot;$&quot;#,##0.0000000_);\(&quot;$&quot;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mmmm\ d\,\ yyyy"/>
    <numFmt numFmtId="196" formatCode="mmmm\,\ yyyy"/>
    <numFmt numFmtId="197" formatCode="mmmm\ dd"/>
    <numFmt numFmtId="198" formatCode="mmm"/>
    <numFmt numFmtId="199" formatCode="mmmm"/>
    <numFmt numFmtId="200" formatCode="dd"/>
    <numFmt numFmtId="201" formatCode="dddd"/>
    <numFmt numFmtId="202" formatCode="yy"/>
    <numFmt numFmtId="203" formatCode="yyyy"/>
    <numFmt numFmtId="204" formatCode="00"/>
    <numFmt numFmtId="205" formatCode="000"/>
    <numFmt numFmtId="206" formatCode="0000"/>
    <numFmt numFmtId="207" formatCode="00000"/>
    <numFmt numFmtId="208" formatCode="000000"/>
    <numFmt numFmtId="209" formatCode="0000000"/>
    <numFmt numFmtId="210" formatCode="00000000"/>
    <numFmt numFmtId="211" formatCode="#\ ?/2"/>
    <numFmt numFmtId="212" formatCode="#\ ?/3"/>
    <numFmt numFmtId="213" formatCode="#\ ?/4"/>
    <numFmt numFmtId="214" formatCode="#\ ?/8"/>
    <numFmt numFmtId="215" formatCode="#\ ?/10"/>
    <numFmt numFmtId="216" formatCode="#\ ?/16"/>
    <numFmt numFmtId="217" formatCode="#\ ?/32"/>
    <numFmt numFmtId="218" formatCode="#\ ?/100"/>
    <numFmt numFmtId="219" formatCode="&quot;$&quot;#,##0.0_);[Red]\(&quot;$&quot;#,##0.0\)"/>
    <numFmt numFmtId="220" formatCode="&quot;$&quot;#,##0.000_);[Red]\(&quot;$&quot;#,##0.000\)"/>
    <numFmt numFmtId="221" formatCode="&quot;$&quot;#,##0.0000_);[Red]\(&quot;$&quot;#,##0.0000\)"/>
    <numFmt numFmtId="222" formatCode="&quot;$&quot;#,##0.00000_);[Red]\(&quot;$&quot;#,##0.00000\)"/>
    <numFmt numFmtId="223" formatCode="&quot;$&quot;#,##0.000000_);[Red]\(&quot;$&quot;#,##0.000000\)"/>
    <numFmt numFmtId="224" formatCode="&quot;$&quot;#,##0.0000000_);[Red]\(&quot;$&quot;#,##0.0000000\)"/>
    <numFmt numFmtId="225" formatCode="#,##0.0_);[Red]\(#,##0.0\)"/>
    <numFmt numFmtId="226" formatCode="#,##0.000_);[Red]\(#,##0.000\)"/>
    <numFmt numFmtId="227" formatCode="#,##0.0000_);[Red]\(#,##0.0000\)"/>
    <numFmt numFmtId="228" formatCode="#,##0.00000_);[Red]\(#,##0.00000\)"/>
    <numFmt numFmtId="229" formatCode="#,##0.000000_);[Red]\(#,##0.000000\)"/>
    <numFmt numFmtId="230" formatCode="#,##0.0000000_);[Red]\(#,##0.0000000\)"/>
    <numFmt numFmtId="231" formatCode="#\ ??/???"/>
    <numFmt numFmtId="232" formatCode="0.000000000000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 Narrow"/>
      <family val="2"/>
    </font>
    <font>
      <b/>
      <sz val="8"/>
      <color indexed="16"/>
      <name val="Arial Narrow"/>
      <family val="2"/>
    </font>
    <font>
      <sz val="10"/>
      <name val="Arial Narrow"/>
      <family val="2"/>
    </font>
    <font>
      <sz val="4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4"/>
      <name val="Arial Narrow"/>
      <family val="2"/>
    </font>
    <font>
      <sz val="10"/>
      <color indexed="21"/>
      <name val="Arial Narrow"/>
      <family val="2"/>
    </font>
    <font>
      <b/>
      <sz val="10"/>
      <color indexed="21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8"/>
      <color indexed="12"/>
      <name val="Arial Narrow"/>
      <family val="2"/>
    </font>
    <font>
      <i/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16"/>
      <name val="Arial Narrow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u val="single"/>
      <sz val="10"/>
      <color indexed="36"/>
      <name val="Arial"/>
      <family val="0"/>
    </font>
    <font>
      <u val="single"/>
      <sz val="9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1" fontId="9" fillId="0" borderId="0" xfId="0" applyNumberFormat="1" applyFont="1" applyFill="1" applyBorder="1" applyAlignment="1" applyProtection="1">
      <alignment horizontal="right" wrapText="1"/>
      <protection/>
    </xf>
    <xf numFmtId="164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1" fontId="10" fillId="0" borderId="0" xfId="0" applyNumberFormat="1" applyFont="1" applyFill="1" applyBorder="1" applyAlignment="1" applyProtection="1">
      <alignment horizontal="right" wrapText="1"/>
      <protection/>
    </xf>
    <xf numFmtId="164" fontId="10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right" wrapText="1"/>
      <protection/>
    </xf>
    <xf numFmtId="1" fontId="2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4" fontId="16" fillId="0" borderId="0" xfId="0" applyNumberFormat="1" applyFont="1" applyFill="1" applyBorder="1" applyAlignment="1" applyProtection="1">
      <alignment horizontal="right" wrapText="1"/>
      <protection/>
    </xf>
    <xf numFmtId="164" fontId="17" fillId="0" borderId="0" xfId="0" applyNumberFormat="1" applyFont="1" applyFill="1" applyBorder="1" applyAlignment="1" applyProtection="1">
      <alignment horizontal="right" wrapText="1"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5" fillId="0" borderId="0" xfId="0" applyNumberFormat="1" applyFont="1" applyFill="1" applyBorder="1" applyAlignment="1" applyProtection="1">
      <alignment horizontal="right" wrapText="1"/>
      <protection/>
    </xf>
    <xf numFmtId="1" fontId="19" fillId="0" borderId="0" xfId="0" applyNumberFormat="1" applyFont="1" applyFill="1" applyBorder="1" applyAlignment="1" applyProtection="1">
      <alignment horizontal="right" wrapText="1"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4" fontId="26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 horizontal="right" wrapText="1"/>
      <protection/>
    </xf>
    <xf numFmtId="164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9" fontId="6" fillId="0" borderId="0" xfId="0" applyNumberFormat="1" applyFont="1" applyFill="1" applyBorder="1" applyAlignment="1">
      <alignment/>
    </xf>
    <xf numFmtId="0" fontId="25" fillId="0" borderId="2" xfId="0" applyFont="1" applyFill="1" applyBorder="1" applyAlignment="1">
      <alignment horizontal="center" wrapText="1"/>
    </xf>
    <xf numFmtId="9" fontId="25" fillId="0" borderId="0" xfId="0" applyNumberFormat="1" applyFont="1" applyFill="1" applyBorder="1" applyAlignment="1">
      <alignment/>
    </xf>
    <xf numFmtId="9" fontId="25" fillId="0" borderId="1" xfId="0" applyNumberFormat="1" applyFont="1" applyFill="1" applyBorder="1" applyAlignment="1">
      <alignment/>
    </xf>
    <xf numFmtId="0" fontId="25" fillId="0" borderId="0" xfId="0" applyFont="1" applyAlignment="1">
      <alignment/>
    </xf>
    <xf numFmtId="9" fontId="26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2" xfId="0" applyFont="1" applyFill="1" applyBorder="1" applyAlignment="1">
      <alignment horizontal="center" wrapText="1"/>
    </xf>
    <xf numFmtId="9" fontId="26" fillId="0" borderId="1" xfId="0" applyNumberFormat="1" applyFont="1" applyFill="1" applyBorder="1" applyAlignment="1">
      <alignment/>
    </xf>
    <xf numFmtId="0" fontId="13" fillId="0" borderId="2" xfId="0" applyFont="1" applyFill="1" applyBorder="1" applyAlignment="1">
      <alignment horizontal="center" wrapText="1"/>
    </xf>
    <xf numFmtId="9" fontId="13" fillId="0" borderId="0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0" fillId="0" borderId="2" xfId="0" applyFont="1" applyFill="1" applyBorder="1" applyAlignment="1">
      <alignment horizontal="center" wrapText="1"/>
    </xf>
    <xf numFmtId="9" fontId="20" fillId="0" borderId="0" xfId="0" applyNumberFormat="1" applyFont="1" applyFill="1" applyBorder="1" applyAlignment="1">
      <alignment/>
    </xf>
    <xf numFmtId="9" fontId="20" fillId="0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9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Fill="1" applyBorder="1" applyAlignment="1">
      <alignment horizontal="center" wrapText="1"/>
    </xf>
    <xf numFmtId="9" fontId="15" fillId="0" borderId="1" xfId="0" applyNumberFormat="1" applyFont="1" applyFill="1" applyBorder="1" applyAlignment="1">
      <alignment/>
    </xf>
    <xf numFmtId="9" fontId="15" fillId="0" borderId="3" xfId="0" applyNumberFormat="1" applyFont="1" applyFill="1" applyBorder="1" applyAlignment="1">
      <alignment/>
    </xf>
    <xf numFmtId="9" fontId="26" fillId="0" borderId="4" xfId="0" applyNumberFormat="1" applyFont="1" applyFill="1" applyBorder="1" applyAlignment="1">
      <alignment/>
    </xf>
    <xf numFmtId="9" fontId="6" fillId="0" borderId="4" xfId="0" applyNumberFormat="1" applyFont="1" applyFill="1" applyBorder="1" applyAlignment="1">
      <alignment/>
    </xf>
    <xf numFmtId="9" fontId="13" fillId="0" borderId="4" xfId="0" applyNumberFormat="1" applyFont="1" applyFill="1" applyBorder="1" applyAlignment="1">
      <alignment/>
    </xf>
    <xf numFmtId="9" fontId="15" fillId="0" borderId="4" xfId="0" applyNumberFormat="1" applyFont="1" applyFill="1" applyBorder="1" applyAlignment="1">
      <alignment/>
    </xf>
    <xf numFmtId="9" fontId="20" fillId="0" borderId="4" xfId="0" applyNumberFormat="1" applyFont="1" applyFill="1" applyBorder="1" applyAlignment="1">
      <alignment/>
    </xf>
    <xf numFmtId="9" fontId="25" fillId="0" borderId="4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9" fontId="19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9" fontId="26" fillId="0" borderId="3" xfId="0" applyNumberFormat="1" applyFont="1" applyFill="1" applyBorder="1" applyAlignment="1">
      <alignment/>
    </xf>
    <xf numFmtId="9" fontId="6" fillId="0" borderId="3" xfId="0" applyNumberFormat="1" applyFont="1" applyFill="1" applyBorder="1" applyAlignment="1">
      <alignment/>
    </xf>
    <xf numFmtId="9" fontId="13" fillId="0" borderId="3" xfId="0" applyNumberFormat="1" applyFont="1" applyFill="1" applyBorder="1" applyAlignment="1">
      <alignment/>
    </xf>
    <xf numFmtId="9" fontId="20" fillId="0" borderId="3" xfId="0" applyNumberFormat="1" applyFont="1" applyFill="1" applyBorder="1" applyAlignment="1">
      <alignment/>
    </xf>
    <xf numFmtId="9" fontId="25" fillId="0" borderId="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0" borderId="1" xfId="0" applyFont="1" applyFill="1" applyBorder="1" applyAlignment="1">
      <alignment/>
    </xf>
    <xf numFmtId="0" fontId="30" fillId="0" borderId="2" xfId="0" applyFont="1" applyFill="1" applyBorder="1" applyAlignment="1">
      <alignment horizontal="center"/>
    </xf>
    <xf numFmtId="0" fontId="31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32" fillId="0" borderId="0" xfId="0" applyFont="1" applyAlignment="1">
      <alignment/>
    </xf>
    <xf numFmtId="0" fontId="28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3" fillId="0" borderId="2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33" fillId="0" borderId="2" xfId="0" applyFont="1" applyFill="1" applyBorder="1" applyAlignment="1">
      <alignment horizontal="center"/>
    </xf>
    <xf numFmtId="0" fontId="40" fillId="0" borderId="0" xfId="20" applyNumberFormat="1" applyFont="1" applyFill="1" applyBorder="1" applyAlignment="1" applyProtection="1">
      <alignment/>
      <protection/>
    </xf>
    <xf numFmtId="0" fontId="40" fillId="0" borderId="0" xfId="20" applyFont="1" applyAlignment="1">
      <alignment horizontal="left"/>
    </xf>
    <xf numFmtId="0" fontId="8" fillId="0" borderId="0" xfId="20" applyAlignment="1">
      <alignment horizontal="right"/>
    </xf>
    <xf numFmtId="0" fontId="19" fillId="0" borderId="2" xfId="0" applyFont="1" applyFill="1" applyBorder="1" applyAlignment="1">
      <alignment horizontal="left"/>
    </xf>
    <xf numFmtId="0" fontId="41" fillId="0" borderId="0" xfId="0" applyFont="1" applyAlignment="1">
      <alignment/>
    </xf>
    <xf numFmtId="3" fontId="8" fillId="0" borderId="0" xfId="20" applyNumberFormat="1" applyFill="1" applyBorder="1" applyAlignment="1" applyProtection="1">
      <alignment horizontal="right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1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right" wrapText="1"/>
      <protection/>
    </xf>
    <xf numFmtId="0" fontId="28" fillId="0" borderId="0" xfId="0" applyFont="1" applyAlignment="1">
      <alignment horizontal="center"/>
    </xf>
    <xf numFmtId="0" fontId="22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8" fillId="0" borderId="0" xfId="20" applyNumberFormat="1" applyFill="1" applyBorder="1" applyAlignment="1" applyProtection="1">
      <alignment horizontal="left"/>
      <protection/>
    </xf>
    <xf numFmtId="1" fontId="44" fillId="0" borderId="0" xfId="20" applyNumberFormat="1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FUEL BY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data!$H$4:$H$233</c:f>
              <c:numCache>
                <c:ptCount val="230"/>
                <c:pt idx="0">
                  <c:v>36.6</c:v>
                </c:pt>
                <c:pt idx="1">
                  <c:v>3</c:v>
                </c:pt>
                <c:pt idx="2">
                  <c:v>4.4</c:v>
                </c:pt>
                <c:pt idx="3">
                  <c:v>5.7</c:v>
                </c:pt>
                <c:pt idx="4">
                  <c:v>6.7</c:v>
                </c:pt>
                <c:pt idx="5">
                  <c:v>19.4</c:v>
                </c:pt>
                <c:pt idx="6">
                  <c:v>28.2</c:v>
                </c:pt>
                <c:pt idx="7">
                  <c:v>34.2</c:v>
                </c:pt>
                <c:pt idx="8">
                  <c:v>42.1</c:v>
                </c:pt>
                <c:pt idx="9">
                  <c:v>47.8</c:v>
                </c:pt>
                <c:pt idx="10">
                  <c:v>53.9</c:v>
                </c:pt>
                <c:pt idx="11">
                  <c:v>3.4</c:v>
                </c:pt>
                <c:pt idx="12">
                  <c:v>4.5</c:v>
                </c:pt>
                <c:pt idx="13">
                  <c:v>6.4</c:v>
                </c:pt>
                <c:pt idx="14">
                  <c:v>7.7</c:v>
                </c:pt>
                <c:pt idx="15">
                  <c:v>9.7</c:v>
                </c:pt>
                <c:pt idx="16">
                  <c:v>14.7</c:v>
                </c:pt>
                <c:pt idx="17">
                  <c:v>20.2</c:v>
                </c:pt>
                <c:pt idx="18">
                  <c:v>23.8</c:v>
                </c:pt>
                <c:pt idx="19">
                  <c:v>26.2</c:v>
                </c:pt>
                <c:pt idx="20">
                  <c:v>30.3</c:v>
                </c:pt>
                <c:pt idx="21">
                  <c:v>33.9</c:v>
                </c:pt>
                <c:pt idx="22">
                  <c:v>37</c:v>
                </c:pt>
                <c:pt idx="23">
                  <c:v>42.2</c:v>
                </c:pt>
                <c:pt idx="24">
                  <c:v>42.2</c:v>
                </c:pt>
                <c:pt idx="25">
                  <c:v>2.3</c:v>
                </c:pt>
                <c:pt idx="26">
                  <c:v>4.5</c:v>
                </c:pt>
                <c:pt idx="27">
                  <c:v>6</c:v>
                </c:pt>
                <c:pt idx="28">
                  <c:v>7.6</c:v>
                </c:pt>
                <c:pt idx="29">
                  <c:v>8.4</c:v>
                </c:pt>
                <c:pt idx="30">
                  <c:v>9.1</c:v>
                </c:pt>
                <c:pt idx="31">
                  <c:v>10.2</c:v>
                </c:pt>
                <c:pt idx="32">
                  <c:v>17.6</c:v>
                </c:pt>
                <c:pt idx="33">
                  <c:v>26.2</c:v>
                </c:pt>
                <c:pt idx="34">
                  <c:v>30.5</c:v>
                </c:pt>
                <c:pt idx="35">
                  <c:v>34.4</c:v>
                </c:pt>
                <c:pt idx="36">
                  <c:v>37.9</c:v>
                </c:pt>
                <c:pt idx="37">
                  <c:v>41.5</c:v>
                </c:pt>
                <c:pt idx="38">
                  <c:v>42.2</c:v>
                </c:pt>
                <c:pt idx="39">
                  <c:v>2</c:v>
                </c:pt>
                <c:pt idx="40">
                  <c:v>2.9</c:v>
                </c:pt>
                <c:pt idx="41">
                  <c:v>5</c:v>
                </c:pt>
                <c:pt idx="42">
                  <c:v>6.2</c:v>
                </c:pt>
                <c:pt idx="43">
                  <c:v>7.4</c:v>
                </c:pt>
                <c:pt idx="44">
                  <c:v>8.8</c:v>
                </c:pt>
                <c:pt idx="45">
                  <c:v>11.5</c:v>
                </c:pt>
                <c:pt idx="46">
                  <c:v>16.8</c:v>
                </c:pt>
                <c:pt idx="47">
                  <c:v>20.4</c:v>
                </c:pt>
                <c:pt idx="48">
                  <c:v>24.6</c:v>
                </c:pt>
                <c:pt idx="49">
                  <c:v>28.3</c:v>
                </c:pt>
                <c:pt idx="50">
                  <c:v>31.7</c:v>
                </c:pt>
                <c:pt idx="51">
                  <c:v>35.1</c:v>
                </c:pt>
                <c:pt idx="52">
                  <c:v>40</c:v>
                </c:pt>
                <c:pt idx="53">
                  <c:v>2.5</c:v>
                </c:pt>
                <c:pt idx="54">
                  <c:v>4.9</c:v>
                </c:pt>
                <c:pt idx="55">
                  <c:v>6.9</c:v>
                </c:pt>
                <c:pt idx="56">
                  <c:v>8.2</c:v>
                </c:pt>
                <c:pt idx="57">
                  <c:v>12.3</c:v>
                </c:pt>
                <c:pt idx="58">
                  <c:v>17.3</c:v>
                </c:pt>
                <c:pt idx="59">
                  <c:v>21.7</c:v>
                </c:pt>
                <c:pt idx="60">
                  <c:v>23.9</c:v>
                </c:pt>
                <c:pt idx="61">
                  <c:v>26.1</c:v>
                </c:pt>
                <c:pt idx="62">
                  <c:v>30</c:v>
                </c:pt>
                <c:pt idx="63">
                  <c:v>33.1</c:v>
                </c:pt>
                <c:pt idx="64">
                  <c:v>36.7</c:v>
                </c:pt>
                <c:pt idx="65">
                  <c:v>40.3</c:v>
                </c:pt>
                <c:pt idx="66">
                  <c:v>3.1</c:v>
                </c:pt>
                <c:pt idx="67">
                  <c:v>5.4</c:v>
                </c:pt>
                <c:pt idx="68">
                  <c:v>7</c:v>
                </c:pt>
                <c:pt idx="69">
                  <c:v>8.2</c:v>
                </c:pt>
                <c:pt idx="70">
                  <c:v>8.6</c:v>
                </c:pt>
                <c:pt idx="71">
                  <c:v>10</c:v>
                </c:pt>
                <c:pt idx="72">
                  <c:v>11.6</c:v>
                </c:pt>
                <c:pt idx="73">
                  <c:v>18.9</c:v>
                </c:pt>
                <c:pt idx="74">
                  <c:v>27</c:v>
                </c:pt>
                <c:pt idx="75">
                  <c:v>32.4</c:v>
                </c:pt>
                <c:pt idx="76">
                  <c:v>36.9</c:v>
                </c:pt>
                <c:pt idx="77">
                  <c:v>40.9</c:v>
                </c:pt>
                <c:pt idx="78">
                  <c:v>45.5</c:v>
                </c:pt>
                <c:pt idx="79">
                  <c:v>47.7</c:v>
                </c:pt>
                <c:pt idx="80">
                  <c:v>2.5</c:v>
                </c:pt>
                <c:pt idx="81">
                  <c:v>4.8</c:v>
                </c:pt>
                <c:pt idx="82">
                  <c:v>6.7</c:v>
                </c:pt>
                <c:pt idx="83">
                  <c:v>8.2</c:v>
                </c:pt>
                <c:pt idx="84">
                  <c:v>8.9</c:v>
                </c:pt>
                <c:pt idx="85">
                  <c:v>10.2</c:v>
                </c:pt>
                <c:pt idx="86">
                  <c:v>13.6</c:v>
                </c:pt>
                <c:pt idx="87">
                  <c:v>18.3</c:v>
                </c:pt>
                <c:pt idx="88">
                  <c:v>25.2</c:v>
                </c:pt>
                <c:pt idx="89">
                  <c:v>32</c:v>
                </c:pt>
                <c:pt idx="90">
                  <c:v>36.1</c:v>
                </c:pt>
                <c:pt idx="91">
                  <c:v>40.8</c:v>
                </c:pt>
                <c:pt idx="92">
                  <c:v>45.7</c:v>
                </c:pt>
                <c:pt idx="93">
                  <c:v>47.5</c:v>
                </c:pt>
                <c:pt idx="94">
                  <c:v>27</c:v>
                </c:pt>
                <c:pt idx="95">
                  <c:v>14</c:v>
                </c:pt>
                <c:pt idx="96">
                  <c:v>23</c:v>
                </c:pt>
                <c:pt idx="97">
                  <c:v>32</c:v>
                </c:pt>
                <c:pt idx="98">
                  <c:v>5.3</c:v>
                </c:pt>
                <c:pt idx="99">
                  <c:v>7.4</c:v>
                </c:pt>
                <c:pt idx="100">
                  <c:v>8.5</c:v>
                </c:pt>
                <c:pt idx="101">
                  <c:v>10.2</c:v>
                </c:pt>
                <c:pt idx="102">
                  <c:v>14.9</c:v>
                </c:pt>
                <c:pt idx="103">
                  <c:v>20.5</c:v>
                </c:pt>
                <c:pt idx="104">
                  <c:v>26</c:v>
                </c:pt>
                <c:pt idx="105">
                  <c:v>33.1</c:v>
                </c:pt>
                <c:pt idx="106">
                  <c:v>37</c:v>
                </c:pt>
                <c:pt idx="107">
                  <c:v>40.7</c:v>
                </c:pt>
                <c:pt idx="108">
                  <c:v>45</c:v>
                </c:pt>
                <c:pt idx="109">
                  <c:v>26.9</c:v>
                </c:pt>
                <c:pt idx="110">
                  <c:v>32.7</c:v>
                </c:pt>
                <c:pt idx="111">
                  <c:v>38.5</c:v>
                </c:pt>
                <c:pt idx="112">
                  <c:v>51</c:v>
                </c:pt>
                <c:pt idx="113">
                  <c:v>39</c:v>
                </c:pt>
                <c:pt idx="114">
                  <c:v>20</c:v>
                </c:pt>
                <c:pt idx="115">
                  <c:v>23</c:v>
                </c:pt>
                <c:pt idx="116">
                  <c:v>38</c:v>
                </c:pt>
                <c:pt idx="117">
                  <c:v>6</c:v>
                </c:pt>
                <c:pt idx="118">
                  <c:v>26</c:v>
                </c:pt>
                <c:pt idx="119">
                  <c:v>50.9</c:v>
                </c:pt>
                <c:pt idx="120">
                  <c:v>30</c:v>
                </c:pt>
                <c:pt idx="121">
                  <c:v>20</c:v>
                </c:pt>
                <c:pt idx="122">
                  <c:v>23.166</c:v>
                </c:pt>
                <c:pt idx="123">
                  <c:v>26</c:v>
                </c:pt>
                <c:pt idx="124">
                  <c:v>4.257960000000001</c:v>
                </c:pt>
                <c:pt idx="125">
                  <c:v>5.1786</c:v>
                </c:pt>
                <c:pt idx="126">
                  <c:v>11.508000000000001</c:v>
                </c:pt>
                <c:pt idx="127">
                  <c:v>16.1112</c:v>
                </c:pt>
                <c:pt idx="128">
                  <c:v>27.6192</c:v>
                </c:pt>
                <c:pt idx="129">
                  <c:v>39.1272</c:v>
                </c:pt>
                <c:pt idx="130">
                  <c:v>2.8</c:v>
                </c:pt>
                <c:pt idx="131">
                  <c:v>5</c:v>
                </c:pt>
                <c:pt idx="132">
                  <c:v>6.4</c:v>
                </c:pt>
                <c:pt idx="133">
                  <c:v>10</c:v>
                </c:pt>
                <c:pt idx="134">
                  <c:v>13</c:v>
                </c:pt>
                <c:pt idx="135">
                  <c:v>19</c:v>
                </c:pt>
                <c:pt idx="136">
                  <c:v>24</c:v>
                </c:pt>
                <c:pt idx="137">
                  <c:v>34</c:v>
                </c:pt>
                <c:pt idx="138">
                  <c:v>38</c:v>
                </c:pt>
                <c:pt idx="139">
                  <c:v>40</c:v>
                </c:pt>
                <c:pt idx="140">
                  <c:v>48</c:v>
                </c:pt>
                <c:pt idx="141">
                  <c:v>5</c:v>
                </c:pt>
                <c:pt idx="142">
                  <c:v>8</c:v>
                </c:pt>
                <c:pt idx="143">
                  <c:v>9</c:v>
                </c:pt>
                <c:pt idx="144">
                  <c:v>11</c:v>
                </c:pt>
                <c:pt idx="145">
                  <c:v>18</c:v>
                </c:pt>
                <c:pt idx="146">
                  <c:v>24</c:v>
                </c:pt>
                <c:pt idx="147">
                  <c:v>32</c:v>
                </c:pt>
                <c:pt idx="148">
                  <c:v>36</c:v>
                </c:pt>
                <c:pt idx="149">
                  <c:v>42</c:v>
                </c:pt>
                <c:pt idx="150">
                  <c:v>46</c:v>
                </c:pt>
                <c:pt idx="151">
                  <c:v>50</c:v>
                </c:pt>
                <c:pt idx="152">
                  <c:v>18.8</c:v>
                </c:pt>
                <c:pt idx="153">
                  <c:v>25.6</c:v>
                </c:pt>
                <c:pt idx="154">
                  <c:v>31.8</c:v>
                </c:pt>
                <c:pt idx="155">
                  <c:v>38</c:v>
                </c:pt>
                <c:pt idx="156">
                  <c:v>48.6</c:v>
                </c:pt>
                <c:pt idx="157">
                  <c:v>23.8</c:v>
                </c:pt>
                <c:pt idx="158">
                  <c:v>56.4</c:v>
                </c:pt>
                <c:pt idx="159">
                  <c:v>26.468400000000003</c:v>
                </c:pt>
                <c:pt idx="160">
                  <c:v>31.762080000000005</c:v>
                </c:pt>
                <c:pt idx="161">
                  <c:v>30</c:v>
                </c:pt>
                <c:pt idx="162">
                  <c:v>28.77</c:v>
                </c:pt>
                <c:pt idx="163">
                  <c:v>3.6</c:v>
                </c:pt>
                <c:pt idx="164">
                  <c:v>4.9</c:v>
                </c:pt>
                <c:pt idx="165">
                  <c:v>7.4</c:v>
                </c:pt>
                <c:pt idx="166">
                  <c:v>9.2</c:v>
                </c:pt>
                <c:pt idx="167">
                  <c:v>10.5</c:v>
                </c:pt>
                <c:pt idx="168">
                  <c:v>11</c:v>
                </c:pt>
                <c:pt idx="169">
                  <c:v>11.7</c:v>
                </c:pt>
                <c:pt idx="170">
                  <c:v>13.7</c:v>
                </c:pt>
                <c:pt idx="171">
                  <c:v>23.2</c:v>
                </c:pt>
                <c:pt idx="172">
                  <c:v>28.9</c:v>
                </c:pt>
                <c:pt idx="173">
                  <c:v>33</c:v>
                </c:pt>
                <c:pt idx="174">
                  <c:v>37.7</c:v>
                </c:pt>
                <c:pt idx="175">
                  <c:v>42</c:v>
                </c:pt>
                <c:pt idx="176">
                  <c:v>44.3</c:v>
                </c:pt>
                <c:pt idx="177">
                  <c:v>3.6</c:v>
                </c:pt>
                <c:pt idx="178">
                  <c:v>6</c:v>
                </c:pt>
                <c:pt idx="179">
                  <c:v>8</c:v>
                </c:pt>
                <c:pt idx="180">
                  <c:v>9.4</c:v>
                </c:pt>
                <c:pt idx="181">
                  <c:v>10.4</c:v>
                </c:pt>
                <c:pt idx="182">
                  <c:v>12.2</c:v>
                </c:pt>
                <c:pt idx="183">
                  <c:v>15.2</c:v>
                </c:pt>
                <c:pt idx="184">
                  <c:v>19.2</c:v>
                </c:pt>
                <c:pt idx="185">
                  <c:v>25.1</c:v>
                </c:pt>
                <c:pt idx="186">
                  <c:v>31.1</c:v>
                </c:pt>
                <c:pt idx="187">
                  <c:v>36.3</c:v>
                </c:pt>
                <c:pt idx="188">
                  <c:v>41.4</c:v>
                </c:pt>
                <c:pt idx="189">
                  <c:v>45.7</c:v>
                </c:pt>
                <c:pt idx="190">
                  <c:v>46.9</c:v>
                </c:pt>
                <c:pt idx="191">
                  <c:v>37.9764</c:v>
                </c:pt>
                <c:pt idx="192">
                  <c:v>6</c:v>
                </c:pt>
                <c:pt idx="193">
                  <c:v>30</c:v>
                </c:pt>
                <c:pt idx="194">
                  <c:v>46</c:v>
                </c:pt>
                <c:pt idx="195">
                  <c:v>27.6192</c:v>
                </c:pt>
                <c:pt idx="196">
                  <c:v>5.1786</c:v>
                </c:pt>
                <c:pt idx="197">
                  <c:v>17.262</c:v>
                </c:pt>
                <c:pt idx="198">
                  <c:v>25.317600000000002</c:v>
                </c:pt>
                <c:pt idx="199">
                  <c:v>28.77</c:v>
                </c:pt>
                <c:pt idx="200">
                  <c:v>33.373200000000004</c:v>
                </c:pt>
                <c:pt idx="201">
                  <c:v>36.8256</c:v>
                </c:pt>
                <c:pt idx="202">
                  <c:v>38.781960000000005</c:v>
                </c:pt>
                <c:pt idx="203">
                  <c:v>48.333600000000004</c:v>
                </c:pt>
                <c:pt idx="204">
                  <c:v>30.72636</c:v>
                </c:pt>
                <c:pt idx="205">
                  <c:v>29</c:v>
                </c:pt>
                <c:pt idx="206">
                  <c:v>8.86116</c:v>
                </c:pt>
                <c:pt idx="207">
                  <c:v>27.5</c:v>
                </c:pt>
                <c:pt idx="208">
                  <c:v>35</c:v>
                </c:pt>
                <c:pt idx="209">
                  <c:v>20.36916</c:v>
                </c:pt>
                <c:pt idx="210">
                  <c:v>23.5914</c:v>
                </c:pt>
                <c:pt idx="211">
                  <c:v>31.41684</c:v>
                </c:pt>
                <c:pt idx="212">
                  <c:v>9.2064</c:v>
                </c:pt>
                <c:pt idx="213">
                  <c:v>20.59932</c:v>
                </c:pt>
                <c:pt idx="214">
                  <c:v>7</c:v>
                </c:pt>
                <c:pt idx="215">
                  <c:v>19</c:v>
                </c:pt>
                <c:pt idx="216">
                  <c:v>32.2224</c:v>
                </c:pt>
                <c:pt idx="217">
                  <c:v>23.016000000000002</c:v>
                </c:pt>
                <c:pt idx="218">
                  <c:v>35.55972</c:v>
                </c:pt>
                <c:pt idx="219">
                  <c:v>39.1272</c:v>
                </c:pt>
                <c:pt idx="220">
                  <c:v>31.647000000000002</c:v>
                </c:pt>
                <c:pt idx="221">
                  <c:v>44.305800000000005</c:v>
                </c:pt>
                <c:pt idx="222">
                  <c:v>35.44464</c:v>
                </c:pt>
                <c:pt idx="223">
                  <c:v>39.58752</c:v>
                </c:pt>
                <c:pt idx="224">
                  <c:v>17.837400000000002</c:v>
                </c:pt>
                <c:pt idx="225">
                  <c:v>37.9764</c:v>
                </c:pt>
                <c:pt idx="226">
                  <c:v>10.9326</c:v>
                </c:pt>
                <c:pt idx="227">
                  <c:v>20.7144</c:v>
                </c:pt>
                <c:pt idx="228">
                  <c:v>20</c:v>
                </c:pt>
                <c:pt idx="229">
                  <c:v>24</c:v>
                </c:pt>
              </c:numCache>
            </c:numRef>
          </c:xVal>
          <c:yVal>
            <c:numRef>
              <c:f>data!$K$4:$K$233</c:f>
              <c:numCache>
                <c:ptCount val="230"/>
                <c:pt idx="0">
                  <c:v>7.32</c:v>
                </c:pt>
                <c:pt idx="1">
                  <c:v>7.5</c:v>
                </c:pt>
                <c:pt idx="2">
                  <c:v>4.888888888888889</c:v>
                </c:pt>
                <c:pt idx="3">
                  <c:v>3.5625</c:v>
                </c:pt>
                <c:pt idx="4">
                  <c:v>3.7222222222222223</c:v>
                </c:pt>
                <c:pt idx="5">
                  <c:v>7.461538461538461</c:v>
                </c:pt>
                <c:pt idx="6">
                  <c:v>7.05</c:v>
                </c:pt>
                <c:pt idx="7">
                  <c:v>5.796610169491526</c:v>
                </c:pt>
                <c:pt idx="8">
                  <c:v>4.895348837209303</c:v>
                </c:pt>
                <c:pt idx="9">
                  <c:v>3.763779527559055</c:v>
                </c:pt>
                <c:pt idx="10">
                  <c:v>2.9944444444444445</c:v>
                </c:pt>
                <c:pt idx="11">
                  <c:v>11.333333333333334</c:v>
                </c:pt>
                <c:pt idx="12">
                  <c:v>7.5</c:v>
                </c:pt>
                <c:pt idx="13">
                  <c:v>5.818181818181818</c:v>
                </c:pt>
                <c:pt idx="14">
                  <c:v>4.052631578947369</c:v>
                </c:pt>
                <c:pt idx="15">
                  <c:v>3.0312499999999996</c:v>
                </c:pt>
                <c:pt idx="16">
                  <c:v>4.2</c:v>
                </c:pt>
                <c:pt idx="17">
                  <c:v>5.315789473684211</c:v>
                </c:pt>
                <c:pt idx="18">
                  <c:v>5.409090909090909</c:v>
                </c:pt>
                <c:pt idx="19">
                  <c:v>5.346938775510203</c:v>
                </c:pt>
                <c:pt idx="20">
                  <c:v>4.80952380952381</c:v>
                </c:pt>
                <c:pt idx="21">
                  <c:v>3.4591836734693873</c:v>
                </c:pt>
                <c:pt idx="22">
                  <c:v>2.9838709677419355</c:v>
                </c:pt>
                <c:pt idx="23">
                  <c:v>3.125925925925926</c:v>
                </c:pt>
                <c:pt idx="24">
                  <c:v>3.125925925925926</c:v>
                </c:pt>
                <c:pt idx="25">
                  <c:v>7.666666666666666</c:v>
                </c:pt>
                <c:pt idx="26">
                  <c:v>7.5</c:v>
                </c:pt>
                <c:pt idx="27">
                  <c:v>5</c:v>
                </c:pt>
                <c:pt idx="28">
                  <c:v>3.6190476190476186</c:v>
                </c:pt>
                <c:pt idx="29">
                  <c:v>2.545454545454546</c:v>
                </c:pt>
                <c:pt idx="30">
                  <c:v>2.275</c:v>
                </c:pt>
                <c:pt idx="31">
                  <c:v>2.217391304347826</c:v>
                </c:pt>
                <c:pt idx="32">
                  <c:v>4.190476190476191</c:v>
                </c:pt>
                <c:pt idx="33">
                  <c:v>5.24</c:v>
                </c:pt>
                <c:pt idx="34">
                  <c:v>4.295774647887324</c:v>
                </c:pt>
                <c:pt idx="35">
                  <c:v>3.954022988505747</c:v>
                </c:pt>
                <c:pt idx="36">
                  <c:v>3.4454545454545453</c:v>
                </c:pt>
                <c:pt idx="37">
                  <c:v>3.16793893129771</c:v>
                </c:pt>
                <c:pt idx="38">
                  <c:v>3.221374045801527</c:v>
                </c:pt>
                <c:pt idx="39">
                  <c:v>6.666666666666667</c:v>
                </c:pt>
                <c:pt idx="40">
                  <c:v>7.249999999999999</c:v>
                </c:pt>
                <c:pt idx="41">
                  <c:v>6.25</c:v>
                </c:pt>
                <c:pt idx="42">
                  <c:v>4.769230769230769</c:v>
                </c:pt>
                <c:pt idx="43">
                  <c:v>3.7</c:v>
                </c:pt>
                <c:pt idx="44">
                  <c:v>3.8260869565217397</c:v>
                </c:pt>
                <c:pt idx="45">
                  <c:v>4.259259259259259</c:v>
                </c:pt>
                <c:pt idx="46">
                  <c:v>5.6000000000000005</c:v>
                </c:pt>
                <c:pt idx="47">
                  <c:v>6.374999999999999</c:v>
                </c:pt>
                <c:pt idx="48">
                  <c:v>6.15</c:v>
                </c:pt>
                <c:pt idx="49">
                  <c:v>5.549019607843138</c:v>
                </c:pt>
                <c:pt idx="50">
                  <c:v>4.661764705882353</c:v>
                </c:pt>
                <c:pt idx="51">
                  <c:v>4.129411764705883</c:v>
                </c:pt>
                <c:pt idx="52">
                  <c:v>3.6697247706422016</c:v>
                </c:pt>
                <c:pt idx="53">
                  <c:v>8.333333333333334</c:v>
                </c:pt>
                <c:pt idx="54">
                  <c:v>7.000000000000001</c:v>
                </c:pt>
                <c:pt idx="55">
                  <c:v>5.750000000000001</c:v>
                </c:pt>
                <c:pt idx="56">
                  <c:v>3.7272727272727266</c:v>
                </c:pt>
                <c:pt idx="57">
                  <c:v>3.5142857142857147</c:v>
                </c:pt>
                <c:pt idx="58">
                  <c:v>4.325</c:v>
                </c:pt>
                <c:pt idx="59">
                  <c:v>4.931818181818182</c:v>
                </c:pt>
                <c:pt idx="60">
                  <c:v>4.779999999999999</c:v>
                </c:pt>
                <c:pt idx="61">
                  <c:v>4.578947368421053</c:v>
                </c:pt>
                <c:pt idx="62">
                  <c:v>4.225352112676057</c:v>
                </c:pt>
                <c:pt idx="63">
                  <c:v>3.4842105263157896</c:v>
                </c:pt>
                <c:pt idx="64">
                  <c:v>2.912698412698413</c:v>
                </c:pt>
                <c:pt idx="65">
                  <c:v>2.741496598639456</c:v>
                </c:pt>
                <c:pt idx="66">
                  <c:v>10.333333333333334</c:v>
                </c:pt>
                <c:pt idx="67">
                  <c:v>6.75</c:v>
                </c:pt>
                <c:pt idx="68">
                  <c:v>4.375</c:v>
                </c:pt>
                <c:pt idx="69">
                  <c:v>2.5624999999999996</c:v>
                </c:pt>
                <c:pt idx="70">
                  <c:v>1.72</c:v>
                </c:pt>
                <c:pt idx="71">
                  <c:v>1.5384615384615385</c:v>
                </c:pt>
                <c:pt idx="72">
                  <c:v>1.7058823529411764</c:v>
                </c:pt>
                <c:pt idx="73">
                  <c:v>2.6999999999999997</c:v>
                </c:pt>
                <c:pt idx="74">
                  <c:v>3.2926829268292686</c:v>
                </c:pt>
                <c:pt idx="75">
                  <c:v>3.3402061855670104</c:v>
                </c:pt>
                <c:pt idx="76">
                  <c:v>3.0749999999999997</c:v>
                </c:pt>
                <c:pt idx="77">
                  <c:v>2.4939024390243905</c:v>
                </c:pt>
                <c:pt idx="78">
                  <c:v>2.1875</c:v>
                </c:pt>
                <c:pt idx="79">
                  <c:v>2.293269230769231</c:v>
                </c:pt>
                <c:pt idx="80">
                  <c:v>8.333333333333334</c:v>
                </c:pt>
                <c:pt idx="81">
                  <c:v>6.857142857142858</c:v>
                </c:pt>
                <c:pt idx="82">
                  <c:v>4.466666666666667</c:v>
                </c:pt>
                <c:pt idx="83">
                  <c:v>3.0370370370370368</c:v>
                </c:pt>
                <c:pt idx="84">
                  <c:v>2.1707317073170733</c:v>
                </c:pt>
                <c:pt idx="85">
                  <c:v>2.125</c:v>
                </c:pt>
                <c:pt idx="86">
                  <c:v>2.428571428571429</c:v>
                </c:pt>
                <c:pt idx="87">
                  <c:v>3.4528301886792456</c:v>
                </c:pt>
                <c:pt idx="88">
                  <c:v>4.344827586206897</c:v>
                </c:pt>
                <c:pt idx="89">
                  <c:v>3.9506172839506175</c:v>
                </c:pt>
                <c:pt idx="90">
                  <c:v>3.373831775700935</c:v>
                </c:pt>
                <c:pt idx="91">
                  <c:v>2.5030674846625764</c:v>
                </c:pt>
                <c:pt idx="92">
                  <c:v>2.155660377358491</c:v>
                </c:pt>
                <c:pt idx="93">
                  <c:v>2.240566037735849</c:v>
                </c:pt>
                <c:pt idx="94">
                  <c:v>3.068181818181818</c:v>
                </c:pt>
                <c:pt idx="95">
                  <c:v>4.666666666666667</c:v>
                </c:pt>
                <c:pt idx="96">
                  <c:v>3.6507936507936507</c:v>
                </c:pt>
                <c:pt idx="97">
                  <c:v>3.0476190476190474</c:v>
                </c:pt>
                <c:pt idx="98">
                  <c:v>4.076923076923077</c:v>
                </c:pt>
                <c:pt idx="99">
                  <c:v>3.5238095238095237</c:v>
                </c:pt>
                <c:pt idx="100">
                  <c:v>2.8333333333333335</c:v>
                </c:pt>
                <c:pt idx="101">
                  <c:v>2</c:v>
                </c:pt>
                <c:pt idx="102">
                  <c:v>1.7529411764705882</c:v>
                </c:pt>
                <c:pt idx="103">
                  <c:v>1.9339622641509435</c:v>
                </c:pt>
                <c:pt idx="104">
                  <c:v>1.9259259259259258</c:v>
                </c:pt>
                <c:pt idx="105">
                  <c:v>2.5461538461538464</c:v>
                </c:pt>
                <c:pt idx="106">
                  <c:v>2.0555555555555554</c:v>
                </c:pt>
                <c:pt idx="107">
                  <c:v>1.5186567164179106</c:v>
                </c:pt>
                <c:pt idx="108">
                  <c:v>1.4851485148514851</c:v>
                </c:pt>
                <c:pt idx="109">
                  <c:v>3.59</c:v>
                </c:pt>
                <c:pt idx="110">
                  <c:v>3.89</c:v>
                </c:pt>
                <c:pt idx="111">
                  <c:v>3.16</c:v>
                </c:pt>
                <c:pt idx="112">
                  <c:v>2.43</c:v>
                </c:pt>
                <c:pt idx="113">
                  <c:v>1.95</c:v>
                </c:pt>
                <c:pt idx="114">
                  <c:v>3.076923076923077</c:v>
                </c:pt>
                <c:pt idx="115">
                  <c:v>2.1296296296296293</c:v>
                </c:pt>
                <c:pt idx="116">
                  <c:v>1.4728682170542635</c:v>
                </c:pt>
                <c:pt idx="117">
                  <c:v>2.4</c:v>
                </c:pt>
                <c:pt idx="118">
                  <c:v>3.6619718309859155</c:v>
                </c:pt>
                <c:pt idx="119">
                  <c:v>1.2004716981132075</c:v>
                </c:pt>
                <c:pt idx="120">
                  <c:v>3.75</c:v>
                </c:pt>
                <c:pt idx="121">
                  <c:v>1.54</c:v>
                </c:pt>
                <c:pt idx="122">
                  <c:v>1.44</c:v>
                </c:pt>
                <c:pt idx="123">
                  <c:v>1.9548872180451127</c:v>
                </c:pt>
                <c:pt idx="124">
                  <c:v>2.13</c:v>
                </c:pt>
                <c:pt idx="125">
                  <c:v>1.29</c:v>
                </c:pt>
                <c:pt idx="126">
                  <c:v>2.56</c:v>
                </c:pt>
                <c:pt idx="127">
                  <c:v>1.34</c:v>
                </c:pt>
                <c:pt idx="128">
                  <c:v>1.53</c:v>
                </c:pt>
                <c:pt idx="129">
                  <c:v>1.78</c:v>
                </c:pt>
                <c:pt idx="130">
                  <c:v>2.8</c:v>
                </c:pt>
                <c:pt idx="131">
                  <c:v>1.67</c:v>
                </c:pt>
                <c:pt idx="132">
                  <c:v>1.6</c:v>
                </c:pt>
                <c:pt idx="133">
                  <c:v>1.43</c:v>
                </c:pt>
                <c:pt idx="134">
                  <c:v>1.3</c:v>
                </c:pt>
                <c:pt idx="135">
                  <c:v>1.19</c:v>
                </c:pt>
                <c:pt idx="136">
                  <c:v>1.28</c:v>
                </c:pt>
                <c:pt idx="137">
                  <c:v>1.7</c:v>
                </c:pt>
                <c:pt idx="138">
                  <c:v>1.36</c:v>
                </c:pt>
                <c:pt idx="139">
                  <c:v>1.25</c:v>
                </c:pt>
                <c:pt idx="140">
                  <c:v>1.26</c:v>
                </c:pt>
                <c:pt idx="141">
                  <c:v>5</c:v>
                </c:pt>
                <c:pt idx="142">
                  <c:v>5.33</c:v>
                </c:pt>
                <c:pt idx="143">
                  <c:v>2.25</c:v>
                </c:pt>
                <c:pt idx="144">
                  <c:v>1.38</c:v>
                </c:pt>
                <c:pt idx="145">
                  <c:v>1.5</c:v>
                </c:pt>
                <c:pt idx="146">
                  <c:v>1.5</c:v>
                </c:pt>
                <c:pt idx="147">
                  <c:v>1.78</c:v>
                </c:pt>
                <c:pt idx="148">
                  <c:v>1.5</c:v>
                </c:pt>
                <c:pt idx="149">
                  <c:v>1.45</c:v>
                </c:pt>
                <c:pt idx="150">
                  <c:v>1.35</c:v>
                </c:pt>
                <c:pt idx="151">
                  <c:v>1.28</c:v>
                </c:pt>
                <c:pt idx="152">
                  <c:v>2.02</c:v>
                </c:pt>
                <c:pt idx="153">
                  <c:v>2.06</c:v>
                </c:pt>
                <c:pt idx="154">
                  <c:v>2.09</c:v>
                </c:pt>
                <c:pt idx="155">
                  <c:v>1.78</c:v>
                </c:pt>
                <c:pt idx="156">
                  <c:v>1.38</c:v>
                </c:pt>
                <c:pt idx="157">
                  <c:v>2.5591397849462365</c:v>
                </c:pt>
                <c:pt idx="158">
                  <c:v>1.4611398963730569</c:v>
                </c:pt>
                <c:pt idx="159">
                  <c:v>2.4507777777777777</c:v>
                </c:pt>
                <c:pt idx="160">
                  <c:v>1.868357647058824</c:v>
                </c:pt>
                <c:pt idx="161">
                  <c:v>1.3043478260869565</c:v>
                </c:pt>
                <c:pt idx="162">
                  <c:v>1.798125</c:v>
                </c:pt>
                <c:pt idx="163">
                  <c:v>6</c:v>
                </c:pt>
                <c:pt idx="164">
                  <c:v>3.5000000000000004</c:v>
                </c:pt>
                <c:pt idx="165">
                  <c:v>2.6428571428571432</c:v>
                </c:pt>
                <c:pt idx="166">
                  <c:v>1.769230769230769</c:v>
                </c:pt>
                <c:pt idx="167">
                  <c:v>1.1797752808988764</c:v>
                </c:pt>
                <c:pt idx="168">
                  <c:v>1.0091743119266054</c:v>
                </c:pt>
                <c:pt idx="169">
                  <c:v>0.9831932773109243</c:v>
                </c:pt>
                <c:pt idx="170">
                  <c:v>1.0620155038759689</c:v>
                </c:pt>
                <c:pt idx="171">
                  <c:v>1.3488372093023255</c:v>
                </c:pt>
                <c:pt idx="172">
                  <c:v>1.3632075471698113</c:v>
                </c:pt>
                <c:pt idx="173">
                  <c:v>1.2741312741312742</c:v>
                </c:pt>
                <c:pt idx="174">
                  <c:v>1.1671826625386998</c:v>
                </c:pt>
                <c:pt idx="175">
                  <c:v>1.0769230769230769</c:v>
                </c:pt>
                <c:pt idx="176">
                  <c:v>1.0572792362768497</c:v>
                </c:pt>
                <c:pt idx="177">
                  <c:v>6</c:v>
                </c:pt>
                <c:pt idx="178">
                  <c:v>3.75</c:v>
                </c:pt>
                <c:pt idx="179">
                  <c:v>2.6666666666666665</c:v>
                </c:pt>
                <c:pt idx="180">
                  <c:v>1.6785714285714288</c:v>
                </c:pt>
                <c:pt idx="181">
                  <c:v>1.1063829787234043</c:v>
                </c:pt>
                <c:pt idx="182">
                  <c:v>1.0166666666666666</c:v>
                </c:pt>
                <c:pt idx="183">
                  <c:v>1.0133333333333332</c:v>
                </c:pt>
                <c:pt idx="184">
                  <c:v>1.2972972972972971</c:v>
                </c:pt>
                <c:pt idx="185">
                  <c:v>1.549382716049383</c:v>
                </c:pt>
                <c:pt idx="186">
                  <c:v>1.6542553191489362</c:v>
                </c:pt>
                <c:pt idx="187">
                  <c:v>1.564655172413793</c:v>
                </c:pt>
                <c:pt idx="188">
                  <c:v>1.3986486486486485</c:v>
                </c:pt>
                <c:pt idx="189">
                  <c:v>1.1839378238341969</c:v>
                </c:pt>
                <c:pt idx="190">
                  <c:v>1.0806451612903225</c:v>
                </c:pt>
                <c:pt idx="191">
                  <c:v>1.4892705882352941</c:v>
                </c:pt>
                <c:pt idx="192">
                  <c:v>1.5584415584415585</c:v>
                </c:pt>
                <c:pt idx="193">
                  <c:v>1.3157894736842104</c:v>
                </c:pt>
                <c:pt idx="194">
                  <c:v>0.7750631844987363</c:v>
                </c:pt>
                <c:pt idx="195">
                  <c:v>3.0688</c:v>
                </c:pt>
                <c:pt idx="196">
                  <c:v>2.3539090909090907</c:v>
                </c:pt>
                <c:pt idx="197">
                  <c:v>1.233</c:v>
                </c:pt>
                <c:pt idx="198">
                  <c:v>0.8439200000000001</c:v>
                </c:pt>
                <c:pt idx="199">
                  <c:v>1.3077272727272726</c:v>
                </c:pt>
                <c:pt idx="200">
                  <c:v>1.2835846153846155</c:v>
                </c:pt>
                <c:pt idx="201">
                  <c:v>0.7515428571428572</c:v>
                </c:pt>
                <c:pt idx="202">
                  <c:v>1.2311733333333335</c:v>
                </c:pt>
                <c:pt idx="203">
                  <c:v>0.80556</c:v>
                </c:pt>
                <c:pt idx="204">
                  <c:v>0.957207476635514</c:v>
                </c:pt>
                <c:pt idx="205">
                  <c:v>1.3181818181818181</c:v>
                </c:pt>
                <c:pt idx="206">
                  <c:v>2.95372</c:v>
                </c:pt>
                <c:pt idx="207">
                  <c:v>0.7638888888888888</c:v>
                </c:pt>
                <c:pt idx="208">
                  <c:v>0.5833333333333334</c:v>
                </c:pt>
                <c:pt idx="209">
                  <c:v>0.885615652173913</c:v>
                </c:pt>
                <c:pt idx="210">
                  <c:v>0.78638</c:v>
                </c:pt>
                <c:pt idx="211">
                  <c:v>0.826758947368421</c:v>
                </c:pt>
                <c:pt idx="212">
                  <c:v>7.36512</c:v>
                </c:pt>
                <c:pt idx="213">
                  <c:v>4.119864</c:v>
                </c:pt>
                <c:pt idx="214">
                  <c:v>5.833333333333334</c:v>
                </c:pt>
                <c:pt idx="215">
                  <c:v>1.9</c:v>
                </c:pt>
                <c:pt idx="216">
                  <c:v>1.3426</c:v>
                </c:pt>
                <c:pt idx="217">
                  <c:v>0.6576000000000001</c:v>
                </c:pt>
                <c:pt idx="218">
                  <c:v>0.7408275</c:v>
                </c:pt>
                <c:pt idx="219">
                  <c:v>0.6113625</c:v>
                </c:pt>
                <c:pt idx="220">
                  <c:v>0.5860555555555556</c:v>
                </c:pt>
                <c:pt idx="221">
                  <c:v>0.35444640000000005</c:v>
                </c:pt>
                <c:pt idx="222">
                  <c:v>0.644448</c:v>
                </c:pt>
                <c:pt idx="223">
                  <c:v>0.5655359999999999</c:v>
                </c:pt>
                <c:pt idx="224">
                  <c:v>0.7134960000000001</c:v>
                </c:pt>
                <c:pt idx="225">
                  <c:v>0.474705</c:v>
                </c:pt>
                <c:pt idx="226">
                  <c:v>0.91105</c:v>
                </c:pt>
                <c:pt idx="227">
                  <c:v>0.7876197718631179</c:v>
                </c:pt>
                <c:pt idx="228">
                  <c:v>0.4444444444444444</c:v>
                </c:pt>
                <c:pt idx="229">
                  <c:v>0.42857142857142855</c:v>
                </c:pt>
              </c:numCache>
            </c:numRef>
          </c:yVal>
          <c:smooth val="0"/>
        </c:ser>
        <c:axId val="39972723"/>
        <c:axId val="24210188"/>
      </c:scatterChart>
      <c:valAx>
        <c:axId val="3997272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SPEED (MPH)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10188"/>
        <c:crosses val="autoZero"/>
        <c:crossBetween val="midCat"/>
        <c:dispUnits/>
      </c:valAx>
      <c:valAx>
        <c:axId val="242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FUEL (miles per gallon)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2723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FUEL BY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data!$B$4:$B$233</c:f>
              <c:numCache>
                <c:ptCount val="230"/>
                <c:pt idx="0">
                  <c:v>16.166666</c:v>
                </c:pt>
                <c:pt idx="1">
                  <c:v>16.5</c:v>
                </c:pt>
                <c:pt idx="2">
                  <c:v>16.5</c:v>
                </c:pt>
                <c:pt idx="3">
                  <c:v>16.5</c:v>
                </c:pt>
                <c:pt idx="4">
                  <c:v>16.5</c:v>
                </c:pt>
                <c:pt idx="5">
                  <c:v>16.5</c:v>
                </c:pt>
                <c:pt idx="6">
                  <c:v>16.5</c:v>
                </c:pt>
                <c:pt idx="7">
                  <c:v>16.5</c:v>
                </c:pt>
                <c:pt idx="8">
                  <c:v>16.5</c:v>
                </c:pt>
                <c:pt idx="9">
                  <c:v>16.5</c:v>
                </c:pt>
                <c:pt idx="10">
                  <c:v>16.5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18.833333333333332</c:v>
                </c:pt>
                <c:pt idx="26">
                  <c:v>18.833333333333332</c:v>
                </c:pt>
                <c:pt idx="27">
                  <c:v>18.833333333333332</c:v>
                </c:pt>
                <c:pt idx="28">
                  <c:v>18.833333333333332</c:v>
                </c:pt>
                <c:pt idx="29">
                  <c:v>18.833333333333332</c:v>
                </c:pt>
                <c:pt idx="30">
                  <c:v>18.833333333333332</c:v>
                </c:pt>
                <c:pt idx="31">
                  <c:v>18.833333333333332</c:v>
                </c:pt>
                <c:pt idx="32">
                  <c:v>18.833333333333332</c:v>
                </c:pt>
                <c:pt idx="33">
                  <c:v>18.833333333333332</c:v>
                </c:pt>
                <c:pt idx="34">
                  <c:v>18.833333333333332</c:v>
                </c:pt>
                <c:pt idx="35">
                  <c:v>18.833333333333332</c:v>
                </c:pt>
                <c:pt idx="36">
                  <c:v>18.833333333333332</c:v>
                </c:pt>
                <c:pt idx="37">
                  <c:v>18.833333333333332</c:v>
                </c:pt>
                <c:pt idx="38">
                  <c:v>18.833333333333332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20.25</c:v>
                </c:pt>
                <c:pt idx="54">
                  <c:v>20.25</c:v>
                </c:pt>
                <c:pt idx="55">
                  <c:v>20.25</c:v>
                </c:pt>
                <c:pt idx="56">
                  <c:v>20.25</c:v>
                </c:pt>
                <c:pt idx="57">
                  <c:v>20.25</c:v>
                </c:pt>
                <c:pt idx="58">
                  <c:v>20.25</c:v>
                </c:pt>
                <c:pt idx="59">
                  <c:v>20.25</c:v>
                </c:pt>
                <c:pt idx="60">
                  <c:v>20.25</c:v>
                </c:pt>
                <c:pt idx="61">
                  <c:v>20.25</c:v>
                </c:pt>
                <c:pt idx="62">
                  <c:v>20.25</c:v>
                </c:pt>
                <c:pt idx="63">
                  <c:v>20.25</c:v>
                </c:pt>
                <c:pt idx="64">
                  <c:v>20.25</c:v>
                </c:pt>
                <c:pt idx="65">
                  <c:v>20.25</c:v>
                </c:pt>
                <c:pt idx="66">
                  <c:v>20.583333333333332</c:v>
                </c:pt>
                <c:pt idx="67">
                  <c:v>20.583333333333332</c:v>
                </c:pt>
                <c:pt idx="68">
                  <c:v>20.583333333333332</c:v>
                </c:pt>
                <c:pt idx="69">
                  <c:v>20.583333333333332</c:v>
                </c:pt>
                <c:pt idx="70">
                  <c:v>20.583333333333332</c:v>
                </c:pt>
                <c:pt idx="71">
                  <c:v>20.583333333333332</c:v>
                </c:pt>
                <c:pt idx="72">
                  <c:v>20.583333333333332</c:v>
                </c:pt>
                <c:pt idx="73">
                  <c:v>20.583333333333332</c:v>
                </c:pt>
                <c:pt idx="74">
                  <c:v>20.583333333333332</c:v>
                </c:pt>
                <c:pt idx="75">
                  <c:v>20.583333333333332</c:v>
                </c:pt>
                <c:pt idx="76">
                  <c:v>20.583333333333332</c:v>
                </c:pt>
                <c:pt idx="77">
                  <c:v>20.583333333333332</c:v>
                </c:pt>
                <c:pt idx="78">
                  <c:v>20.583333333333332</c:v>
                </c:pt>
                <c:pt idx="79">
                  <c:v>20.583333333333332</c:v>
                </c:pt>
                <c:pt idx="80">
                  <c:v>22.416666666666668</c:v>
                </c:pt>
                <c:pt idx="81">
                  <c:v>22.416666666666668</c:v>
                </c:pt>
                <c:pt idx="82">
                  <c:v>22.416666666666668</c:v>
                </c:pt>
                <c:pt idx="83">
                  <c:v>22.416666666666668</c:v>
                </c:pt>
                <c:pt idx="84">
                  <c:v>22.416666666666668</c:v>
                </c:pt>
                <c:pt idx="85">
                  <c:v>22.416666666666668</c:v>
                </c:pt>
                <c:pt idx="86">
                  <c:v>22.416666666666668</c:v>
                </c:pt>
                <c:pt idx="87">
                  <c:v>22.416666666666668</c:v>
                </c:pt>
                <c:pt idx="88">
                  <c:v>22.416666666666668</c:v>
                </c:pt>
                <c:pt idx="89">
                  <c:v>22.416666666666668</c:v>
                </c:pt>
                <c:pt idx="90">
                  <c:v>22.416666666666668</c:v>
                </c:pt>
                <c:pt idx="91">
                  <c:v>22.416666666666668</c:v>
                </c:pt>
                <c:pt idx="92">
                  <c:v>22.416666666666668</c:v>
                </c:pt>
                <c:pt idx="93">
                  <c:v>22.416666666666668</c:v>
                </c:pt>
                <c:pt idx="94">
                  <c:v>23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25.416666666666668</c:v>
                </c:pt>
                <c:pt idx="99">
                  <c:v>25.416666666666668</c:v>
                </c:pt>
                <c:pt idx="100">
                  <c:v>25.416666666666668</c:v>
                </c:pt>
                <c:pt idx="101">
                  <c:v>25.416666666666668</c:v>
                </c:pt>
                <c:pt idx="102">
                  <c:v>25.416666666666668</c:v>
                </c:pt>
                <c:pt idx="103">
                  <c:v>25.416666666666668</c:v>
                </c:pt>
                <c:pt idx="104">
                  <c:v>25.416666666666668</c:v>
                </c:pt>
                <c:pt idx="105">
                  <c:v>25.416666666666668</c:v>
                </c:pt>
                <c:pt idx="106">
                  <c:v>25.416666666666668</c:v>
                </c:pt>
                <c:pt idx="107">
                  <c:v>25.416666666666668</c:v>
                </c:pt>
                <c:pt idx="108">
                  <c:v>25.416666666666668</c:v>
                </c:pt>
                <c:pt idx="109">
                  <c:v>25.916666666666668</c:v>
                </c:pt>
                <c:pt idx="110">
                  <c:v>25.916666666666668</c:v>
                </c:pt>
                <c:pt idx="111">
                  <c:v>25.916666666666668</c:v>
                </c:pt>
                <c:pt idx="112">
                  <c:v>25.916666666666668</c:v>
                </c:pt>
                <c:pt idx="113">
                  <c:v>26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26.916666666666668</c:v>
                </c:pt>
                <c:pt idx="118">
                  <c:v>26.916666666666668</c:v>
                </c:pt>
                <c:pt idx="119">
                  <c:v>26.916666666666668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27.33333</c:v>
                </c:pt>
                <c:pt idx="124">
                  <c:v>28</c:v>
                </c:pt>
                <c:pt idx="125">
                  <c:v>28</c:v>
                </c:pt>
                <c:pt idx="126">
                  <c:v>28</c:v>
                </c:pt>
                <c:pt idx="127">
                  <c:v>28</c:v>
                </c:pt>
                <c:pt idx="128">
                  <c:v>28</c:v>
                </c:pt>
                <c:pt idx="129">
                  <c:v>28</c:v>
                </c:pt>
                <c:pt idx="130">
                  <c:v>28</c:v>
                </c:pt>
                <c:pt idx="131">
                  <c:v>28</c:v>
                </c:pt>
                <c:pt idx="132">
                  <c:v>28</c:v>
                </c:pt>
                <c:pt idx="133">
                  <c:v>28</c:v>
                </c:pt>
                <c:pt idx="134">
                  <c:v>28</c:v>
                </c:pt>
                <c:pt idx="135">
                  <c:v>28</c:v>
                </c:pt>
                <c:pt idx="136">
                  <c:v>28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28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28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28</c:v>
                </c:pt>
                <c:pt idx="156">
                  <c:v>28</c:v>
                </c:pt>
                <c:pt idx="157">
                  <c:v>28.5</c:v>
                </c:pt>
                <c:pt idx="158">
                  <c:v>28.5</c:v>
                </c:pt>
                <c:pt idx="159">
                  <c:v>29.5</c:v>
                </c:pt>
                <c:pt idx="160">
                  <c:v>29.5</c:v>
                </c:pt>
                <c:pt idx="161">
                  <c:v>31.1666</c:v>
                </c:pt>
                <c:pt idx="162">
                  <c:v>31.8333</c:v>
                </c:pt>
                <c:pt idx="163">
                  <c:v>32.083333333333336</c:v>
                </c:pt>
                <c:pt idx="164">
                  <c:v>32.083333333333336</c:v>
                </c:pt>
                <c:pt idx="165">
                  <c:v>32.083333333333336</c:v>
                </c:pt>
                <c:pt idx="166">
                  <c:v>32.083333333333336</c:v>
                </c:pt>
                <c:pt idx="167">
                  <c:v>32.083333333333336</c:v>
                </c:pt>
                <c:pt idx="168">
                  <c:v>32.083333333333336</c:v>
                </c:pt>
                <c:pt idx="169">
                  <c:v>32.083333333333336</c:v>
                </c:pt>
                <c:pt idx="170">
                  <c:v>32.083333333333336</c:v>
                </c:pt>
                <c:pt idx="171">
                  <c:v>32.083333333333336</c:v>
                </c:pt>
                <c:pt idx="172">
                  <c:v>32.083333333333336</c:v>
                </c:pt>
                <c:pt idx="173">
                  <c:v>32.083333333333336</c:v>
                </c:pt>
                <c:pt idx="174">
                  <c:v>32.083333333333336</c:v>
                </c:pt>
                <c:pt idx="175">
                  <c:v>32.083333333333336</c:v>
                </c:pt>
                <c:pt idx="176">
                  <c:v>32.083333333333336</c:v>
                </c:pt>
                <c:pt idx="177">
                  <c:v>32.16666</c:v>
                </c:pt>
                <c:pt idx="178">
                  <c:v>32.16666</c:v>
                </c:pt>
                <c:pt idx="179">
                  <c:v>32.16666</c:v>
                </c:pt>
                <c:pt idx="180">
                  <c:v>32.16666</c:v>
                </c:pt>
                <c:pt idx="181">
                  <c:v>32.16666</c:v>
                </c:pt>
                <c:pt idx="182">
                  <c:v>32.16666</c:v>
                </c:pt>
                <c:pt idx="183">
                  <c:v>32.16666</c:v>
                </c:pt>
                <c:pt idx="184">
                  <c:v>32.16666</c:v>
                </c:pt>
                <c:pt idx="185">
                  <c:v>32.16666</c:v>
                </c:pt>
                <c:pt idx="186">
                  <c:v>32.16666</c:v>
                </c:pt>
                <c:pt idx="187">
                  <c:v>32.16666</c:v>
                </c:pt>
                <c:pt idx="188">
                  <c:v>32.16666</c:v>
                </c:pt>
                <c:pt idx="189">
                  <c:v>32.16666</c:v>
                </c:pt>
                <c:pt idx="190">
                  <c:v>32.16666</c:v>
                </c:pt>
                <c:pt idx="191">
                  <c:v>32.333</c:v>
                </c:pt>
                <c:pt idx="192">
                  <c:v>32.583333333333336</c:v>
                </c:pt>
                <c:pt idx="193">
                  <c:v>32.583333333333336</c:v>
                </c:pt>
                <c:pt idx="194">
                  <c:v>32.583333333333336</c:v>
                </c:pt>
                <c:pt idx="195">
                  <c:v>34</c:v>
                </c:pt>
                <c:pt idx="196">
                  <c:v>34.5</c:v>
                </c:pt>
                <c:pt idx="197">
                  <c:v>34.5</c:v>
                </c:pt>
                <c:pt idx="198">
                  <c:v>35</c:v>
                </c:pt>
                <c:pt idx="199">
                  <c:v>35</c:v>
                </c:pt>
                <c:pt idx="200">
                  <c:v>35</c:v>
                </c:pt>
                <c:pt idx="201">
                  <c:v>35</c:v>
                </c:pt>
                <c:pt idx="202">
                  <c:v>35.083333333333336</c:v>
                </c:pt>
                <c:pt idx="203">
                  <c:v>35.083333333333336</c:v>
                </c:pt>
                <c:pt idx="204">
                  <c:v>35.083333333333336</c:v>
                </c:pt>
                <c:pt idx="205">
                  <c:v>36</c:v>
                </c:pt>
                <c:pt idx="206">
                  <c:v>36.833333333333336</c:v>
                </c:pt>
                <c:pt idx="207">
                  <c:v>37.6666</c:v>
                </c:pt>
                <c:pt idx="208">
                  <c:v>37.6666</c:v>
                </c:pt>
                <c:pt idx="209">
                  <c:v>38</c:v>
                </c:pt>
                <c:pt idx="210">
                  <c:v>38</c:v>
                </c:pt>
                <c:pt idx="211">
                  <c:v>38</c:v>
                </c:pt>
                <c:pt idx="212">
                  <c:v>39.1666</c:v>
                </c:pt>
                <c:pt idx="213">
                  <c:v>39.1666</c:v>
                </c:pt>
                <c:pt idx="214">
                  <c:v>41</c:v>
                </c:pt>
                <c:pt idx="215">
                  <c:v>41</c:v>
                </c:pt>
                <c:pt idx="216">
                  <c:v>41.6666</c:v>
                </c:pt>
                <c:pt idx="217">
                  <c:v>47.5</c:v>
                </c:pt>
                <c:pt idx="218">
                  <c:v>50.3333</c:v>
                </c:pt>
                <c:pt idx="219">
                  <c:v>50.3333</c:v>
                </c:pt>
                <c:pt idx="220">
                  <c:v>50.583333333333336</c:v>
                </c:pt>
                <c:pt idx="221">
                  <c:v>50.583333333333336</c:v>
                </c:pt>
                <c:pt idx="222">
                  <c:v>52.25</c:v>
                </c:pt>
                <c:pt idx="223">
                  <c:v>52.25</c:v>
                </c:pt>
                <c:pt idx="224">
                  <c:v>52.5</c:v>
                </c:pt>
                <c:pt idx="225">
                  <c:v>52.5</c:v>
                </c:pt>
                <c:pt idx="226">
                  <c:v>53</c:v>
                </c:pt>
                <c:pt idx="227">
                  <c:v>53</c:v>
                </c:pt>
                <c:pt idx="228">
                  <c:v>59.3333</c:v>
                </c:pt>
                <c:pt idx="229">
                  <c:v>59.3333</c:v>
                </c:pt>
              </c:numCache>
            </c:numRef>
          </c:xVal>
          <c:yVal>
            <c:numRef>
              <c:f>data!$K$4:$K$233</c:f>
              <c:numCache>
                <c:ptCount val="230"/>
                <c:pt idx="0">
                  <c:v>7.32</c:v>
                </c:pt>
                <c:pt idx="1">
                  <c:v>7.5</c:v>
                </c:pt>
                <c:pt idx="2">
                  <c:v>4.888888888888889</c:v>
                </c:pt>
                <c:pt idx="3">
                  <c:v>3.5625</c:v>
                </c:pt>
                <c:pt idx="4">
                  <c:v>3.7222222222222223</c:v>
                </c:pt>
                <c:pt idx="5">
                  <c:v>7.461538461538461</c:v>
                </c:pt>
                <c:pt idx="6">
                  <c:v>7.05</c:v>
                </c:pt>
                <c:pt idx="7">
                  <c:v>5.796610169491526</c:v>
                </c:pt>
                <c:pt idx="8">
                  <c:v>4.895348837209303</c:v>
                </c:pt>
                <c:pt idx="9">
                  <c:v>3.763779527559055</c:v>
                </c:pt>
                <c:pt idx="10">
                  <c:v>2.9944444444444445</c:v>
                </c:pt>
                <c:pt idx="11">
                  <c:v>11.333333333333334</c:v>
                </c:pt>
                <c:pt idx="12">
                  <c:v>7.5</c:v>
                </c:pt>
                <c:pt idx="13">
                  <c:v>5.818181818181818</c:v>
                </c:pt>
                <c:pt idx="14">
                  <c:v>4.052631578947369</c:v>
                </c:pt>
                <c:pt idx="15">
                  <c:v>3.0312499999999996</c:v>
                </c:pt>
                <c:pt idx="16">
                  <c:v>4.2</c:v>
                </c:pt>
                <c:pt idx="17">
                  <c:v>5.315789473684211</c:v>
                </c:pt>
                <c:pt idx="18">
                  <c:v>5.409090909090909</c:v>
                </c:pt>
                <c:pt idx="19">
                  <c:v>5.346938775510203</c:v>
                </c:pt>
                <c:pt idx="20">
                  <c:v>4.80952380952381</c:v>
                </c:pt>
                <c:pt idx="21">
                  <c:v>3.4591836734693873</c:v>
                </c:pt>
                <c:pt idx="22">
                  <c:v>2.9838709677419355</c:v>
                </c:pt>
                <c:pt idx="23">
                  <c:v>3.125925925925926</c:v>
                </c:pt>
                <c:pt idx="24">
                  <c:v>3.125925925925926</c:v>
                </c:pt>
                <c:pt idx="25">
                  <c:v>7.666666666666666</c:v>
                </c:pt>
                <c:pt idx="26">
                  <c:v>7.5</c:v>
                </c:pt>
                <c:pt idx="27">
                  <c:v>5</c:v>
                </c:pt>
                <c:pt idx="28">
                  <c:v>3.6190476190476186</c:v>
                </c:pt>
                <c:pt idx="29">
                  <c:v>2.545454545454546</c:v>
                </c:pt>
                <c:pt idx="30">
                  <c:v>2.275</c:v>
                </c:pt>
                <c:pt idx="31">
                  <c:v>2.217391304347826</c:v>
                </c:pt>
                <c:pt idx="32">
                  <c:v>4.190476190476191</c:v>
                </c:pt>
                <c:pt idx="33">
                  <c:v>5.24</c:v>
                </c:pt>
                <c:pt idx="34">
                  <c:v>4.295774647887324</c:v>
                </c:pt>
                <c:pt idx="35">
                  <c:v>3.954022988505747</c:v>
                </c:pt>
                <c:pt idx="36">
                  <c:v>3.4454545454545453</c:v>
                </c:pt>
                <c:pt idx="37">
                  <c:v>3.16793893129771</c:v>
                </c:pt>
                <c:pt idx="38">
                  <c:v>3.221374045801527</c:v>
                </c:pt>
                <c:pt idx="39">
                  <c:v>6.666666666666667</c:v>
                </c:pt>
                <c:pt idx="40">
                  <c:v>7.249999999999999</c:v>
                </c:pt>
                <c:pt idx="41">
                  <c:v>6.25</c:v>
                </c:pt>
                <c:pt idx="42">
                  <c:v>4.769230769230769</c:v>
                </c:pt>
                <c:pt idx="43">
                  <c:v>3.7</c:v>
                </c:pt>
                <c:pt idx="44">
                  <c:v>3.8260869565217397</c:v>
                </c:pt>
                <c:pt idx="45">
                  <c:v>4.259259259259259</c:v>
                </c:pt>
                <c:pt idx="46">
                  <c:v>5.6000000000000005</c:v>
                </c:pt>
                <c:pt idx="47">
                  <c:v>6.374999999999999</c:v>
                </c:pt>
                <c:pt idx="48">
                  <c:v>6.15</c:v>
                </c:pt>
                <c:pt idx="49">
                  <c:v>5.549019607843138</c:v>
                </c:pt>
                <c:pt idx="50">
                  <c:v>4.661764705882353</c:v>
                </c:pt>
                <c:pt idx="51">
                  <c:v>4.129411764705883</c:v>
                </c:pt>
                <c:pt idx="52">
                  <c:v>3.6697247706422016</c:v>
                </c:pt>
                <c:pt idx="53">
                  <c:v>8.333333333333334</c:v>
                </c:pt>
                <c:pt idx="54">
                  <c:v>7.000000000000001</c:v>
                </c:pt>
                <c:pt idx="55">
                  <c:v>5.750000000000001</c:v>
                </c:pt>
                <c:pt idx="56">
                  <c:v>3.7272727272727266</c:v>
                </c:pt>
                <c:pt idx="57">
                  <c:v>3.5142857142857147</c:v>
                </c:pt>
                <c:pt idx="58">
                  <c:v>4.325</c:v>
                </c:pt>
                <c:pt idx="59">
                  <c:v>4.931818181818182</c:v>
                </c:pt>
                <c:pt idx="60">
                  <c:v>4.779999999999999</c:v>
                </c:pt>
                <c:pt idx="61">
                  <c:v>4.578947368421053</c:v>
                </c:pt>
                <c:pt idx="62">
                  <c:v>4.225352112676057</c:v>
                </c:pt>
                <c:pt idx="63">
                  <c:v>3.4842105263157896</c:v>
                </c:pt>
                <c:pt idx="64">
                  <c:v>2.912698412698413</c:v>
                </c:pt>
                <c:pt idx="65">
                  <c:v>2.741496598639456</c:v>
                </c:pt>
                <c:pt idx="66">
                  <c:v>10.333333333333334</c:v>
                </c:pt>
                <c:pt idx="67">
                  <c:v>6.75</c:v>
                </c:pt>
                <c:pt idx="68">
                  <c:v>4.375</c:v>
                </c:pt>
                <c:pt idx="69">
                  <c:v>2.5624999999999996</c:v>
                </c:pt>
                <c:pt idx="70">
                  <c:v>1.72</c:v>
                </c:pt>
                <c:pt idx="71">
                  <c:v>1.5384615384615385</c:v>
                </c:pt>
                <c:pt idx="72">
                  <c:v>1.7058823529411764</c:v>
                </c:pt>
                <c:pt idx="73">
                  <c:v>2.6999999999999997</c:v>
                </c:pt>
                <c:pt idx="74">
                  <c:v>3.2926829268292686</c:v>
                </c:pt>
                <c:pt idx="75">
                  <c:v>3.3402061855670104</c:v>
                </c:pt>
                <c:pt idx="76">
                  <c:v>3.0749999999999997</c:v>
                </c:pt>
                <c:pt idx="77">
                  <c:v>2.4939024390243905</c:v>
                </c:pt>
                <c:pt idx="78">
                  <c:v>2.1875</c:v>
                </c:pt>
                <c:pt idx="79">
                  <c:v>2.293269230769231</c:v>
                </c:pt>
                <c:pt idx="80">
                  <c:v>8.333333333333334</c:v>
                </c:pt>
                <c:pt idx="81">
                  <c:v>6.857142857142858</c:v>
                </c:pt>
                <c:pt idx="82">
                  <c:v>4.466666666666667</c:v>
                </c:pt>
                <c:pt idx="83">
                  <c:v>3.0370370370370368</c:v>
                </c:pt>
                <c:pt idx="84">
                  <c:v>2.1707317073170733</c:v>
                </c:pt>
                <c:pt idx="85">
                  <c:v>2.125</c:v>
                </c:pt>
                <c:pt idx="86">
                  <c:v>2.428571428571429</c:v>
                </c:pt>
                <c:pt idx="87">
                  <c:v>3.4528301886792456</c:v>
                </c:pt>
                <c:pt idx="88">
                  <c:v>4.344827586206897</c:v>
                </c:pt>
                <c:pt idx="89">
                  <c:v>3.9506172839506175</c:v>
                </c:pt>
                <c:pt idx="90">
                  <c:v>3.373831775700935</c:v>
                </c:pt>
                <c:pt idx="91">
                  <c:v>2.5030674846625764</c:v>
                </c:pt>
                <c:pt idx="92">
                  <c:v>2.155660377358491</c:v>
                </c:pt>
                <c:pt idx="93">
                  <c:v>2.240566037735849</c:v>
                </c:pt>
                <c:pt idx="94">
                  <c:v>3.068181818181818</c:v>
                </c:pt>
                <c:pt idx="95">
                  <c:v>4.666666666666667</c:v>
                </c:pt>
                <c:pt idx="96">
                  <c:v>3.6507936507936507</c:v>
                </c:pt>
                <c:pt idx="97">
                  <c:v>3.0476190476190474</c:v>
                </c:pt>
                <c:pt idx="98">
                  <c:v>4.076923076923077</c:v>
                </c:pt>
                <c:pt idx="99">
                  <c:v>3.5238095238095237</c:v>
                </c:pt>
                <c:pt idx="100">
                  <c:v>2.8333333333333335</c:v>
                </c:pt>
                <c:pt idx="101">
                  <c:v>2</c:v>
                </c:pt>
                <c:pt idx="102">
                  <c:v>1.7529411764705882</c:v>
                </c:pt>
                <c:pt idx="103">
                  <c:v>1.9339622641509435</c:v>
                </c:pt>
                <c:pt idx="104">
                  <c:v>1.9259259259259258</c:v>
                </c:pt>
                <c:pt idx="105">
                  <c:v>2.5461538461538464</c:v>
                </c:pt>
                <c:pt idx="106">
                  <c:v>2.0555555555555554</c:v>
                </c:pt>
                <c:pt idx="107">
                  <c:v>1.5186567164179106</c:v>
                </c:pt>
                <c:pt idx="108">
                  <c:v>1.4851485148514851</c:v>
                </c:pt>
                <c:pt idx="109">
                  <c:v>3.59</c:v>
                </c:pt>
                <c:pt idx="110">
                  <c:v>3.89</c:v>
                </c:pt>
                <c:pt idx="111">
                  <c:v>3.16</c:v>
                </c:pt>
                <c:pt idx="112">
                  <c:v>2.43</c:v>
                </c:pt>
                <c:pt idx="113">
                  <c:v>1.95</c:v>
                </c:pt>
                <c:pt idx="114">
                  <c:v>3.076923076923077</c:v>
                </c:pt>
                <c:pt idx="115">
                  <c:v>2.1296296296296293</c:v>
                </c:pt>
                <c:pt idx="116">
                  <c:v>1.4728682170542635</c:v>
                </c:pt>
                <c:pt idx="117">
                  <c:v>2.4</c:v>
                </c:pt>
                <c:pt idx="118">
                  <c:v>3.6619718309859155</c:v>
                </c:pt>
                <c:pt idx="119">
                  <c:v>1.2004716981132075</c:v>
                </c:pt>
                <c:pt idx="120">
                  <c:v>3.75</c:v>
                </c:pt>
                <c:pt idx="121">
                  <c:v>1.54</c:v>
                </c:pt>
                <c:pt idx="122">
                  <c:v>1.44</c:v>
                </c:pt>
                <c:pt idx="123">
                  <c:v>1.9548872180451127</c:v>
                </c:pt>
                <c:pt idx="124">
                  <c:v>2.13</c:v>
                </c:pt>
                <c:pt idx="125">
                  <c:v>1.29</c:v>
                </c:pt>
                <c:pt idx="126">
                  <c:v>2.56</c:v>
                </c:pt>
                <c:pt idx="127">
                  <c:v>1.34</c:v>
                </c:pt>
                <c:pt idx="128">
                  <c:v>1.53</c:v>
                </c:pt>
                <c:pt idx="129">
                  <c:v>1.78</c:v>
                </c:pt>
                <c:pt idx="130">
                  <c:v>2.8</c:v>
                </c:pt>
                <c:pt idx="131">
                  <c:v>1.67</c:v>
                </c:pt>
                <c:pt idx="132">
                  <c:v>1.6</c:v>
                </c:pt>
                <c:pt idx="133">
                  <c:v>1.43</c:v>
                </c:pt>
                <c:pt idx="134">
                  <c:v>1.3</c:v>
                </c:pt>
                <c:pt idx="135">
                  <c:v>1.19</c:v>
                </c:pt>
                <c:pt idx="136">
                  <c:v>1.28</c:v>
                </c:pt>
                <c:pt idx="137">
                  <c:v>1.7</c:v>
                </c:pt>
                <c:pt idx="138">
                  <c:v>1.36</c:v>
                </c:pt>
                <c:pt idx="139">
                  <c:v>1.25</c:v>
                </c:pt>
                <c:pt idx="140">
                  <c:v>1.26</c:v>
                </c:pt>
                <c:pt idx="141">
                  <c:v>5</c:v>
                </c:pt>
                <c:pt idx="142">
                  <c:v>5.33</c:v>
                </c:pt>
                <c:pt idx="143">
                  <c:v>2.25</c:v>
                </c:pt>
                <c:pt idx="144">
                  <c:v>1.38</c:v>
                </c:pt>
                <c:pt idx="145">
                  <c:v>1.5</c:v>
                </c:pt>
                <c:pt idx="146">
                  <c:v>1.5</c:v>
                </c:pt>
                <c:pt idx="147">
                  <c:v>1.78</c:v>
                </c:pt>
                <c:pt idx="148">
                  <c:v>1.5</c:v>
                </c:pt>
                <c:pt idx="149">
                  <c:v>1.45</c:v>
                </c:pt>
                <c:pt idx="150">
                  <c:v>1.35</c:v>
                </c:pt>
                <c:pt idx="151">
                  <c:v>1.28</c:v>
                </c:pt>
                <c:pt idx="152">
                  <c:v>2.02</c:v>
                </c:pt>
                <c:pt idx="153">
                  <c:v>2.06</c:v>
                </c:pt>
                <c:pt idx="154">
                  <c:v>2.09</c:v>
                </c:pt>
                <c:pt idx="155">
                  <c:v>1.78</c:v>
                </c:pt>
                <c:pt idx="156">
                  <c:v>1.38</c:v>
                </c:pt>
                <c:pt idx="157">
                  <c:v>2.5591397849462365</c:v>
                </c:pt>
                <c:pt idx="158">
                  <c:v>1.4611398963730569</c:v>
                </c:pt>
                <c:pt idx="159">
                  <c:v>2.4507777777777777</c:v>
                </c:pt>
                <c:pt idx="160">
                  <c:v>1.868357647058824</c:v>
                </c:pt>
                <c:pt idx="161">
                  <c:v>1.3043478260869565</c:v>
                </c:pt>
                <c:pt idx="162">
                  <c:v>1.798125</c:v>
                </c:pt>
                <c:pt idx="163">
                  <c:v>6</c:v>
                </c:pt>
                <c:pt idx="164">
                  <c:v>3.5000000000000004</c:v>
                </c:pt>
                <c:pt idx="165">
                  <c:v>2.6428571428571432</c:v>
                </c:pt>
                <c:pt idx="166">
                  <c:v>1.769230769230769</c:v>
                </c:pt>
                <c:pt idx="167">
                  <c:v>1.1797752808988764</c:v>
                </c:pt>
                <c:pt idx="168">
                  <c:v>1.0091743119266054</c:v>
                </c:pt>
                <c:pt idx="169">
                  <c:v>0.9831932773109243</c:v>
                </c:pt>
                <c:pt idx="170">
                  <c:v>1.0620155038759689</c:v>
                </c:pt>
                <c:pt idx="171">
                  <c:v>1.3488372093023255</c:v>
                </c:pt>
                <c:pt idx="172">
                  <c:v>1.3632075471698113</c:v>
                </c:pt>
                <c:pt idx="173">
                  <c:v>1.2741312741312742</c:v>
                </c:pt>
                <c:pt idx="174">
                  <c:v>1.1671826625386998</c:v>
                </c:pt>
                <c:pt idx="175">
                  <c:v>1.0769230769230769</c:v>
                </c:pt>
                <c:pt idx="176">
                  <c:v>1.0572792362768497</c:v>
                </c:pt>
                <c:pt idx="177">
                  <c:v>6</c:v>
                </c:pt>
                <c:pt idx="178">
                  <c:v>3.75</c:v>
                </c:pt>
                <c:pt idx="179">
                  <c:v>2.6666666666666665</c:v>
                </c:pt>
                <c:pt idx="180">
                  <c:v>1.6785714285714288</c:v>
                </c:pt>
                <c:pt idx="181">
                  <c:v>1.1063829787234043</c:v>
                </c:pt>
                <c:pt idx="182">
                  <c:v>1.0166666666666666</c:v>
                </c:pt>
                <c:pt idx="183">
                  <c:v>1.0133333333333332</c:v>
                </c:pt>
                <c:pt idx="184">
                  <c:v>1.2972972972972971</c:v>
                </c:pt>
                <c:pt idx="185">
                  <c:v>1.549382716049383</c:v>
                </c:pt>
                <c:pt idx="186">
                  <c:v>1.6542553191489362</c:v>
                </c:pt>
                <c:pt idx="187">
                  <c:v>1.564655172413793</c:v>
                </c:pt>
                <c:pt idx="188">
                  <c:v>1.3986486486486485</c:v>
                </c:pt>
                <c:pt idx="189">
                  <c:v>1.1839378238341969</c:v>
                </c:pt>
                <c:pt idx="190">
                  <c:v>1.0806451612903225</c:v>
                </c:pt>
                <c:pt idx="191">
                  <c:v>1.4892705882352941</c:v>
                </c:pt>
                <c:pt idx="192">
                  <c:v>1.5584415584415585</c:v>
                </c:pt>
                <c:pt idx="193">
                  <c:v>1.3157894736842104</c:v>
                </c:pt>
                <c:pt idx="194">
                  <c:v>0.7750631844987363</c:v>
                </c:pt>
                <c:pt idx="195">
                  <c:v>3.0688</c:v>
                </c:pt>
                <c:pt idx="196">
                  <c:v>2.3539090909090907</c:v>
                </c:pt>
                <c:pt idx="197">
                  <c:v>1.233</c:v>
                </c:pt>
                <c:pt idx="198">
                  <c:v>0.8439200000000001</c:v>
                </c:pt>
                <c:pt idx="199">
                  <c:v>1.3077272727272726</c:v>
                </c:pt>
                <c:pt idx="200">
                  <c:v>1.2835846153846155</c:v>
                </c:pt>
                <c:pt idx="201">
                  <c:v>0.7515428571428572</c:v>
                </c:pt>
                <c:pt idx="202">
                  <c:v>1.2311733333333335</c:v>
                </c:pt>
                <c:pt idx="203">
                  <c:v>0.80556</c:v>
                </c:pt>
                <c:pt idx="204">
                  <c:v>0.957207476635514</c:v>
                </c:pt>
                <c:pt idx="205">
                  <c:v>1.3181818181818181</c:v>
                </c:pt>
                <c:pt idx="206">
                  <c:v>2.95372</c:v>
                </c:pt>
                <c:pt idx="207">
                  <c:v>0.7638888888888888</c:v>
                </c:pt>
                <c:pt idx="208">
                  <c:v>0.5833333333333334</c:v>
                </c:pt>
                <c:pt idx="209">
                  <c:v>0.885615652173913</c:v>
                </c:pt>
                <c:pt idx="210">
                  <c:v>0.78638</c:v>
                </c:pt>
                <c:pt idx="211">
                  <c:v>0.826758947368421</c:v>
                </c:pt>
                <c:pt idx="212">
                  <c:v>7.36512</c:v>
                </c:pt>
                <c:pt idx="213">
                  <c:v>4.119864</c:v>
                </c:pt>
                <c:pt idx="214">
                  <c:v>5.833333333333334</c:v>
                </c:pt>
                <c:pt idx="215">
                  <c:v>1.9</c:v>
                </c:pt>
                <c:pt idx="216">
                  <c:v>1.3426</c:v>
                </c:pt>
                <c:pt idx="217">
                  <c:v>0.6576000000000001</c:v>
                </c:pt>
                <c:pt idx="218">
                  <c:v>0.7408275</c:v>
                </c:pt>
                <c:pt idx="219">
                  <c:v>0.6113625</c:v>
                </c:pt>
                <c:pt idx="220">
                  <c:v>0.5860555555555556</c:v>
                </c:pt>
                <c:pt idx="221">
                  <c:v>0.35444640000000005</c:v>
                </c:pt>
                <c:pt idx="222">
                  <c:v>0.644448</c:v>
                </c:pt>
                <c:pt idx="223">
                  <c:v>0.5655359999999999</c:v>
                </c:pt>
                <c:pt idx="224">
                  <c:v>0.7134960000000001</c:v>
                </c:pt>
                <c:pt idx="225">
                  <c:v>0.474705</c:v>
                </c:pt>
                <c:pt idx="226">
                  <c:v>0.91105</c:v>
                </c:pt>
                <c:pt idx="227">
                  <c:v>0.7876197718631179</c:v>
                </c:pt>
                <c:pt idx="228">
                  <c:v>0.4444444444444444</c:v>
                </c:pt>
                <c:pt idx="229">
                  <c:v>0.42857142857142855</c:v>
                </c:pt>
              </c:numCache>
            </c:numRef>
          </c:yVal>
          <c:smooth val="0"/>
        </c:ser>
        <c:axId val="16565101"/>
        <c:axId val="14868182"/>
      </c:scatterChart>
      <c:valAx>
        <c:axId val="1656510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8182"/>
        <c:crosses val="autoZero"/>
        <c:crossBetween val="midCat"/>
        <c:dispUnits/>
      </c:valAx>
      <c:valAx>
        <c:axId val="1486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FUEL (miles per gallon)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65101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ESTIMATES OF GALLONS PER HOUR ARE GOOD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7"/>
          <c:w val="0.938"/>
          <c:h val="0.77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data!$J$4:$J$233</c:f>
              <c:numCache>
                <c:ptCount val="230"/>
                <c:pt idx="0">
                  <c:v>5</c:v>
                </c:pt>
                <c:pt idx="1">
                  <c:v>0.4</c:v>
                </c:pt>
                <c:pt idx="2">
                  <c:v>0.9</c:v>
                </c:pt>
                <c:pt idx="3">
                  <c:v>1.6</c:v>
                </c:pt>
                <c:pt idx="4">
                  <c:v>1.8</c:v>
                </c:pt>
                <c:pt idx="5">
                  <c:v>2.6</c:v>
                </c:pt>
                <c:pt idx="6">
                  <c:v>4</c:v>
                </c:pt>
                <c:pt idx="7">
                  <c:v>5.9</c:v>
                </c:pt>
                <c:pt idx="8">
                  <c:v>8.6</c:v>
                </c:pt>
                <c:pt idx="9">
                  <c:v>12.7</c:v>
                </c:pt>
                <c:pt idx="10">
                  <c:v>18</c:v>
                </c:pt>
                <c:pt idx="11">
                  <c:v>0.3</c:v>
                </c:pt>
                <c:pt idx="12">
                  <c:v>0.6</c:v>
                </c:pt>
                <c:pt idx="13">
                  <c:v>1.1</c:v>
                </c:pt>
                <c:pt idx="14">
                  <c:v>1.9</c:v>
                </c:pt>
                <c:pt idx="15">
                  <c:v>3.2</c:v>
                </c:pt>
                <c:pt idx="16">
                  <c:v>3.5</c:v>
                </c:pt>
                <c:pt idx="17">
                  <c:v>3.8</c:v>
                </c:pt>
                <c:pt idx="18">
                  <c:v>4.4</c:v>
                </c:pt>
                <c:pt idx="19">
                  <c:v>4.9</c:v>
                </c:pt>
                <c:pt idx="20">
                  <c:v>6.3</c:v>
                </c:pt>
                <c:pt idx="21">
                  <c:v>9.8</c:v>
                </c:pt>
                <c:pt idx="22">
                  <c:v>12.4</c:v>
                </c:pt>
                <c:pt idx="23">
                  <c:v>13.5</c:v>
                </c:pt>
                <c:pt idx="24">
                  <c:v>13.5</c:v>
                </c:pt>
                <c:pt idx="25">
                  <c:v>0.3</c:v>
                </c:pt>
                <c:pt idx="26">
                  <c:v>0.6</c:v>
                </c:pt>
                <c:pt idx="27">
                  <c:v>1.2</c:v>
                </c:pt>
                <c:pt idx="28">
                  <c:v>2.1</c:v>
                </c:pt>
                <c:pt idx="29">
                  <c:v>3.3</c:v>
                </c:pt>
                <c:pt idx="30">
                  <c:v>4</c:v>
                </c:pt>
                <c:pt idx="31">
                  <c:v>4.6</c:v>
                </c:pt>
                <c:pt idx="32">
                  <c:v>4.2</c:v>
                </c:pt>
                <c:pt idx="33">
                  <c:v>5</c:v>
                </c:pt>
                <c:pt idx="34">
                  <c:v>7.1</c:v>
                </c:pt>
                <c:pt idx="35">
                  <c:v>8.7</c:v>
                </c:pt>
                <c:pt idx="36">
                  <c:v>11</c:v>
                </c:pt>
                <c:pt idx="37">
                  <c:v>13.1</c:v>
                </c:pt>
                <c:pt idx="38">
                  <c:v>13.1</c:v>
                </c:pt>
                <c:pt idx="39">
                  <c:v>0.3</c:v>
                </c:pt>
                <c:pt idx="40">
                  <c:v>0.4</c:v>
                </c:pt>
                <c:pt idx="41">
                  <c:v>0.8</c:v>
                </c:pt>
                <c:pt idx="42">
                  <c:v>1.3</c:v>
                </c:pt>
                <c:pt idx="43">
                  <c:v>2</c:v>
                </c:pt>
                <c:pt idx="44">
                  <c:v>2.3</c:v>
                </c:pt>
                <c:pt idx="45">
                  <c:v>2.7</c:v>
                </c:pt>
                <c:pt idx="46">
                  <c:v>3</c:v>
                </c:pt>
                <c:pt idx="47">
                  <c:v>3.2</c:v>
                </c:pt>
                <c:pt idx="48">
                  <c:v>4</c:v>
                </c:pt>
                <c:pt idx="49">
                  <c:v>5.1</c:v>
                </c:pt>
                <c:pt idx="50">
                  <c:v>6.8</c:v>
                </c:pt>
                <c:pt idx="51">
                  <c:v>8.5</c:v>
                </c:pt>
                <c:pt idx="52">
                  <c:v>10.9</c:v>
                </c:pt>
                <c:pt idx="53">
                  <c:v>0.3</c:v>
                </c:pt>
                <c:pt idx="54">
                  <c:v>0.7</c:v>
                </c:pt>
                <c:pt idx="55">
                  <c:v>1.2</c:v>
                </c:pt>
                <c:pt idx="56">
                  <c:v>2.2</c:v>
                </c:pt>
                <c:pt idx="57">
                  <c:v>3.5</c:v>
                </c:pt>
                <c:pt idx="58">
                  <c:v>4</c:v>
                </c:pt>
                <c:pt idx="59">
                  <c:v>4.4</c:v>
                </c:pt>
                <c:pt idx="60">
                  <c:v>5</c:v>
                </c:pt>
                <c:pt idx="61">
                  <c:v>5.7</c:v>
                </c:pt>
                <c:pt idx="62">
                  <c:v>7.1</c:v>
                </c:pt>
                <c:pt idx="63">
                  <c:v>9.5</c:v>
                </c:pt>
                <c:pt idx="64">
                  <c:v>12.6</c:v>
                </c:pt>
                <c:pt idx="65">
                  <c:v>14.7</c:v>
                </c:pt>
                <c:pt idx="66">
                  <c:v>0.3</c:v>
                </c:pt>
                <c:pt idx="67">
                  <c:v>0.8</c:v>
                </c:pt>
                <c:pt idx="68">
                  <c:v>1.6</c:v>
                </c:pt>
                <c:pt idx="69">
                  <c:v>3.2</c:v>
                </c:pt>
                <c:pt idx="70">
                  <c:v>5</c:v>
                </c:pt>
                <c:pt idx="71">
                  <c:v>6.5</c:v>
                </c:pt>
                <c:pt idx="72">
                  <c:v>6.8</c:v>
                </c:pt>
                <c:pt idx="73">
                  <c:v>7</c:v>
                </c:pt>
                <c:pt idx="74">
                  <c:v>8.2</c:v>
                </c:pt>
                <c:pt idx="75">
                  <c:v>9.7</c:v>
                </c:pt>
                <c:pt idx="76">
                  <c:v>12</c:v>
                </c:pt>
                <c:pt idx="77">
                  <c:v>16.4</c:v>
                </c:pt>
                <c:pt idx="78">
                  <c:v>20.8</c:v>
                </c:pt>
                <c:pt idx="79">
                  <c:v>20.8</c:v>
                </c:pt>
                <c:pt idx="80">
                  <c:v>0.3</c:v>
                </c:pt>
                <c:pt idx="81">
                  <c:v>0.7</c:v>
                </c:pt>
                <c:pt idx="82">
                  <c:v>1.5</c:v>
                </c:pt>
                <c:pt idx="83">
                  <c:v>2.7</c:v>
                </c:pt>
                <c:pt idx="84">
                  <c:v>4.1</c:v>
                </c:pt>
                <c:pt idx="85">
                  <c:v>4.8</c:v>
                </c:pt>
                <c:pt idx="86">
                  <c:v>5.6</c:v>
                </c:pt>
                <c:pt idx="87">
                  <c:v>5.3</c:v>
                </c:pt>
                <c:pt idx="88">
                  <c:v>5.8</c:v>
                </c:pt>
                <c:pt idx="89">
                  <c:v>8.1</c:v>
                </c:pt>
                <c:pt idx="90">
                  <c:v>10.7</c:v>
                </c:pt>
                <c:pt idx="91">
                  <c:v>16.3</c:v>
                </c:pt>
                <c:pt idx="92">
                  <c:v>21.2</c:v>
                </c:pt>
                <c:pt idx="93">
                  <c:v>21.2</c:v>
                </c:pt>
                <c:pt idx="94">
                  <c:v>8.8</c:v>
                </c:pt>
                <c:pt idx="95">
                  <c:v>3</c:v>
                </c:pt>
                <c:pt idx="96">
                  <c:v>6.3</c:v>
                </c:pt>
                <c:pt idx="97">
                  <c:v>10.5</c:v>
                </c:pt>
                <c:pt idx="98">
                  <c:v>1.3</c:v>
                </c:pt>
                <c:pt idx="99">
                  <c:v>2.1</c:v>
                </c:pt>
                <c:pt idx="100">
                  <c:v>3</c:v>
                </c:pt>
                <c:pt idx="101">
                  <c:v>5.1</c:v>
                </c:pt>
                <c:pt idx="102">
                  <c:v>8.5</c:v>
                </c:pt>
                <c:pt idx="103">
                  <c:v>10.6</c:v>
                </c:pt>
                <c:pt idx="104">
                  <c:v>13.5</c:v>
                </c:pt>
                <c:pt idx="105">
                  <c:v>13</c:v>
                </c:pt>
                <c:pt idx="106">
                  <c:v>18</c:v>
                </c:pt>
                <c:pt idx="107">
                  <c:v>26.8</c:v>
                </c:pt>
                <c:pt idx="108">
                  <c:v>30.3</c:v>
                </c:pt>
                <c:pt idx="109">
                  <c:v>7.5</c:v>
                </c:pt>
                <c:pt idx="110">
                  <c:v>8.4</c:v>
                </c:pt>
                <c:pt idx="111">
                  <c:v>12.2</c:v>
                </c:pt>
                <c:pt idx="112">
                  <c:v>21</c:v>
                </c:pt>
                <c:pt idx="113">
                  <c:v>20</c:v>
                </c:pt>
                <c:pt idx="114">
                  <c:v>6.5</c:v>
                </c:pt>
                <c:pt idx="115">
                  <c:v>10.8</c:v>
                </c:pt>
                <c:pt idx="116">
                  <c:v>25.8</c:v>
                </c:pt>
                <c:pt idx="117">
                  <c:v>2.5</c:v>
                </c:pt>
                <c:pt idx="118">
                  <c:v>7.1</c:v>
                </c:pt>
                <c:pt idx="119">
                  <c:v>42.4</c:v>
                </c:pt>
                <c:pt idx="120">
                  <c:v>8</c:v>
                </c:pt>
                <c:pt idx="121">
                  <c:v>13</c:v>
                </c:pt>
                <c:pt idx="122">
                  <c:v>18</c:v>
                </c:pt>
                <c:pt idx="123">
                  <c:v>13.3</c:v>
                </c:pt>
                <c:pt idx="124">
                  <c:v>2</c:v>
                </c:pt>
                <c:pt idx="125">
                  <c:v>4</c:v>
                </c:pt>
                <c:pt idx="126">
                  <c:v>4.5</c:v>
                </c:pt>
                <c:pt idx="127">
                  <c:v>12</c:v>
                </c:pt>
                <c:pt idx="128">
                  <c:v>18</c:v>
                </c:pt>
                <c:pt idx="129">
                  <c:v>22</c:v>
                </c:pt>
                <c:pt idx="130">
                  <c:v>1</c:v>
                </c:pt>
                <c:pt idx="131">
                  <c:v>3</c:v>
                </c:pt>
                <c:pt idx="132">
                  <c:v>4</c:v>
                </c:pt>
                <c:pt idx="133">
                  <c:v>7</c:v>
                </c:pt>
                <c:pt idx="134">
                  <c:v>10</c:v>
                </c:pt>
                <c:pt idx="135">
                  <c:v>16</c:v>
                </c:pt>
                <c:pt idx="136">
                  <c:v>18.8</c:v>
                </c:pt>
                <c:pt idx="137">
                  <c:v>20</c:v>
                </c:pt>
                <c:pt idx="138">
                  <c:v>28</c:v>
                </c:pt>
                <c:pt idx="139">
                  <c:v>32</c:v>
                </c:pt>
                <c:pt idx="140">
                  <c:v>38</c:v>
                </c:pt>
                <c:pt idx="141">
                  <c:v>1</c:v>
                </c:pt>
                <c:pt idx="142">
                  <c:v>1.5</c:v>
                </c:pt>
                <c:pt idx="143">
                  <c:v>4</c:v>
                </c:pt>
                <c:pt idx="144">
                  <c:v>8</c:v>
                </c:pt>
                <c:pt idx="145">
                  <c:v>12</c:v>
                </c:pt>
                <c:pt idx="146">
                  <c:v>16</c:v>
                </c:pt>
                <c:pt idx="147">
                  <c:v>18</c:v>
                </c:pt>
                <c:pt idx="148">
                  <c:v>24</c:v>
                </c:pt>
                <c:pt idx="149">
                  <c:v>29</c:v>
                </c:pt>
                <c:pt idx="150">
                  <c:v>34</c:v>
                </c:pt>
                <c:pt idx="151">
                  <c:v>39</c:v>
                </c:pt>
                <c:pt idx="152">
                  <c:v>9.3</c:v>
                </c:pt>
                <c:pt idx="153">
                  <c:v>12.4</c:v>
                </c:pt>
                <c:pt idx="154">
                  <c:v>15.2</c:v>
                </c:pt>
                <c:pt idx="155">
                  <c:v>21.4</c:v>
                </c:pt>
                <c:pt idx="156">
                  <c:v>35.3</c:v>
                </c:pt>
                <c:pt idx="157">
                  <c:v>9.3</c:v>
                </c:pt>
                <c:pt idx="158">
                  <c:v>38.6</c:v>
                </c:pt>
                <c:pt idx="159">
                  <c:v>10.8</c:v>
                </c:pt>
                <c:pt idx="160">
                  <c:v>17</c:v>
                </c:pt>
                <c:pt idx="161">
                  <c:v>23</c:v>
                </c:pt>
                <c:pt idx="162">
                  <c:v>16</c:v>
                </c:pt>
                <c:pt idx="163">
                  <c:v>0.6</c:v>
                </c:pt>
                <c:pt idx="164">
                  <c:v>1.4</c:v>
                </c:pt>
                <c:pt idx="165">
                  <c:v>2.8</c:v>
                </c:pt>
                <c:pt idx="166">
                  <c:v>5.2</c:v>
                </c:pt>
                <c:pt idx="167">
                  <c:v>8.9</c:v>
                </c:pt>
                <c:pt idx="168">
                  <c:v>10.9</c:v>
                </c:pt>
                <c:pt idx="169">
                  <c:v>11.9</c:v>
                </c:pt>
                <c:pt idx="170">
                  <c:v>12.9</c:v>
                </c:pt>
                <c:pt idx="171">
                  <c:v>17.2</c:v>
                </c:pt>
                <c:pt idx="172">
                  <c:v>21.2</c:v>
                </c:pt>
                <c:pt idx="173">
                  <c:v>25.9</c:v>
                </c:pt>
                <c:pt idx="174">
                  <c:v>32.3</c:v>
                </c:pt>
                <c:pt idx="175">
                  <c:v>39</c:v>
                </c:pt>
                <c:pt idx="176">
                  <c:v>41.9</c:v>
                </c:pt>
                <c:pt idx="177">
                  <c:v>0.6</c:v>
                </c:pt>
                <c:pt idx="178">
                  <c:v>1.6</c:v>
                </c:pt>
                <c:pt idx="179">
                  <c:v>3</c:v>
                </c:pt>
                <c:pt idx="180">
                  <c:v>5.6</c:v>
                </c:pt>
                <c:pt idx="181">
                  <c:v>9.4</c:v>
                </c:pt>
                <c:pt idx="182">
                  <c:v>12</c:v>
                </c:pt>
                <c:pt idx="183">
                  <c:v>15</c:v>
                </c:pt>
                <c:pt idx="184">
                  <c:v>14.8</c:v>
                </c:pt>
                <c:pt idx="185">
                  <c:v>16.2</c:v>
                </c:pt>
                <c:pt idx="186">
                  <c:v>18.8</c:v>
                </c:pt>
                <c:pt idx="187">
                  <c:v>23.2</c:v>
                </c:pt>
                <c:pt idx="188">
                  <c:v>29.6</c:v>
                </c:pt>
                <c:pt idx="189">
                  <c:v>38.6</c:v>
                </c:pt>
                <c:pt idx="190">
                  <c:v>43.4</c:v>
                </c:pt>
                <c:pt idx="191">
                  <c:v>25.5</c:v>
                </c:pt>
                <c:pt idx="192">
                  <c:v>3.85</c:v>
                </c:pt>
                <c:pt idx="193">
                  <c:v>22.8</c:v>
                </c:pt>
                <c:pt idx="194">
                  <c:v>59.35</c:v>
                </c:pt>
                <c:pt idx="195">
                  <c:v>9</c:v>
                </c:pt>
                <c:pt idx="196">
                  <c:v>2.2</c:v>
                </c:pt>
                <c:pt idx="197">
                  <c:v>14</c:v>
                </c:pt>
                <c:pt idx="198">
                  <c:v>30</c:v>
                </c:pt>
                <c:pt idx="199">
                  <c:v>22</c:v>
                </c:pt>
                <c:pt idx="200">
                  <c:v>26</c:v>
                </c:pt>
                <c:pt idx="201">
                  <c:v>49</c:v>
                </c:pt>
                <c:pt idx="202">
                  <c:v>31.5</c:v>
                </c:pt>
                <c:pt idx="203">
                  <c:v>60</c:v>
                </c:pt>
                <c:pt idx="204">
                  <c:v>32.1</c:v>
                </c:pt>
                <c:pt idx="205">
                  <c:v>22</c:v>
                </c:pt>
                <c:pt idx="206">
                  <c:v>3</c:v>
                </c:pt>
                <c:pt idx="207">
                  <c:v>36</c:v>
                </c:pt>
                <c:pt idx="208">
                  <c:v>60</c:v>
                </c:pt>
                <c:pt idx="209">
                  <c:v>23</c:v>
                </c:pt>
                <c:pt idx="210">
                  <c:v>30</c:v>
                </c:pt>
                <c:pt idx="211">
                  <c:v>38</c:v>
                </c:pt>
                <c:pt idx="212">
                  <c:v>1.25</c:v>
                </c:pt>
                <c:pt idx="213">
                  <c:v>5</c:v>
                </c:pt>
                <c:pt idx="214">
                  <c:v>1.2</c:v>
                </c:pt>
                <c:pt idx="215">
                  <c:v>10</c:v>
                </c:pt>
                <c:pt idx="216">
                  <c:v>24</c:v>
                </c:pt>
                <c:pt idx="217">
                  <c:v>35</c:v>
                </c:pt>
                <c:pt idx="218">
                  <c:v>48</c:v>
                </c:pt>
                <c:pt idx="219">
                  <c:v>64</c:v>
                </c:pt>
                <c:pt idx="220">
                  <c:v>54</c:v>
                </c:pt>
                <c:pt idx="221">
                  <c:v>125</c:v>
                </c:pt>
                <c:pt idx="222">
                  <c:v>55</c:v>
                </c:pt>
                <c:pt idx="223">
                  <c:v>70</c:v>
                </c:pt>
                <c:pt idx="224">
                  <c:v>25</c:v>
                </c:pt>
                <c:pt idx="225">
                  <c:v>80</c:v>
                </c:pt>
                <c:pt idx="226">
                  <c:v>12</c:v>
                </c:pt>
                <c:pt idx="227">
                  <c:v>26.3</c:v>
                </c:pt>
                <c:pt idx="228">
                  <c:v>45</c:v>
                </c:pt>
                <c:pt idx="229">
                  <c:v>56</c:v>
                </c:pt>
              </c:numCache>
            </c:numRef>
          </c:xVal>
          <c:yVal>
            <c:numRef>
              <c:f>data!$P$4:$P$233</c:f>
              <c:numCache>
                <c:ptCount val="230"/>
                <c:pt idx="0">
                  <c:v>14.19174156239664</c:v>
                </c:pt>
                <c:pt idx="1">
                  <c:v>-7.778177917500001</c:v>
                </c:pt>
                <c:pt idx="2">
                  <c:v>-6.855209417899999</c:v>
                </c:pt>
                <c:pt idx="3">
                  <c:v>-5.998167239700001</c:v>
                </c:pt>
                <c:pt idx="4">
                  <c:v>-5.3389040257</c:v>
                </c:pt>
                <c:pt idx="5">
                  <c:v>3.0337387920999994</c:v>
                </c:pt>
                <c:pt idx="6">
                  <c:v>8.835255075299997</c:v>
                </c:pt>
                <c:pt idx="7">
                  <c:v>12.7908343593</c:v>
                </c:pt>
                <c:pt idx="8">
                  <c:v>17.9990137499</c:v>
                </c:pt>
                <c:pt idx="9">
                  <c:v>21.7568140697</c:v>
                </c:pt>
                <c:pt idx="10">
                  <c:v>25.7783196751</c:v>
                </c:pt>
                <c:pt idx="11">
                  <c:v>-6.348817371899999</c:v>
                </c:pt>
                <c:pt idx="12">
                  <c:v>-5.623627836499999</c:v>
                </c:pt>
                <c:pt idx="13">
                  <c:v>-4.371027729899999</c:v>
                </c:pt>
                <c:pt idx="14">
                  <c:v>-3.5139855516999994</c:v>
                </c:pt>
                <c:pt idx="15">
                  <c:v>-2.195459123699999</c:v>
                </c:pt>
                <c:pt idx="16">
                  <c:v>1.1008569463000004</c:v>
                </c:pt>
                <c:pt idx="17">
                  <c:v>4.7268046233</c:v>
                </c:pt>
                <c:pt idx="18">
                  <c:v>7.100152193700001</c:v>
                </c:pt>
                <c:pt idx="19">
                  <c:v>8.6823839073</c:v>
                </c:pt>
                <c:pt idx="20">
                  <c:v>11.3853630847</c:v>
                </c:pt>
                <c:pt idx="21">
                  <c:v>13.7587106551</c:v>
                </c:pt>
                <c:pt idx="22">
                  <c:v>15.8024266185</c:v>
                </c:pt>
                <c:pt idx="23">
                  <c:v>19.2305953313</c:v>
                </c:pt>
                <c:pt idx="24">
                  <c:v>19.2305953313</c:v>
                </c:pt>
                <c:pt idx="25">
                  <c:v>-6.866779305522222</c:v>
                </c:pt>
                <c:pt idx="26">
                  <c:v>-5.4164002347222215</c:v>
                </c:pt>
                <c:pt idx="27">
                  <c:v>-4.427505413722222</c:v>
                </c:pt>
                <c:pt idx="28">
                  <c:v>-3.372684271322222</c:v>
                </c:pt>
                <c:pt idx="29">
                  <c:v>-2.8452737001222212</c:v>
                </c:pt>
                <c:pt idx="30">
                  <c:v>-2.3837894503222223</c:v>
                </c:pt>
                <c:pt idx="31">
                  <c:v>-1.6585999149222221</c:v>
                </c:pt>
                <c:pt idx="32">
                  <c:v>3.21994786867778</c:v>
                </c:pt>
                <c:pt idx="33">
                  <c:v>8.889611509077778</c:v>
                </c:pt>
                <c:pt idx="34">
                  <c:v>11.72444332927778</c:v>
                </c:pt>
                <c:pt idx="35">
                  <c:v>14.295569863877777</c:v>
                </c:pt>
                <c:pt idx="36">
                  <c:v>16.602991112877778</c:v>
                </c:pt>
                <c:pt idx="37">
                  <c:v>18.976338683277778</c:v>
                </c:pt>
                <c:pt idx="38">
                  <c:v>19.43782293307778</c:v>
                </c:pt>
                <c:pt idx="39">
                  <c:v>-6.959556783999998</c:v>
                </c:pt>
                <c:pt idx="40">
                  <c:v>-6.366219891399998</c:v>
                </c:pt>
                <c:pt idx="41">
                  <c:v>-4.981767141999999</c:v>
                </c:pt>
                <c:pt idx="42">
                  <c:v>-4.190651285199999</c:v>
                </c:pt>
                <c:pt idx="43">
                  <c:v>-3.3995354283999983</c:v>
                </c:pt>
                <c:pt idx="44">
                  <c:v>-2.476566928799998</c:v>
                </c:pt>
                <c:pt idx="45">
                  <c:v>-0.6965562509999987</c:v>
                </c:pt>
                <c:pt idx="46">
                  <c:v>2.797538783200002</c:v>
                </c:pt>
                <c:pt idx="47">
                  <c:v>5.1708863536</c:v>
                </c:pt>
                <c:pt idx="48">
                  <c:v>7.939791852400003</c:v>
                </c:pt>
                <c:pt idx="49">
                  <c:v>10.379065744200002</c:v>
                </c:pt>
                <c:pt idx="50">
                  <c:v>12.6205606718</c:v>
                </c:pt>
                <c:pt idx="51">
                  <c:v>14.862055599400001</c:v>
                </c:pt>
                <c:pt idx="52">
                  <c:v>18.092445348000002</c:v>
                </c:pt>
                <c:pt idx="53">
                  <c:v>-5.812925731375</c:v>
                </c:pt>
                <c:pt idx="54">
                  <c:v>-4.230694017774999</c:v>
                </c:pt>
                <c:pt idx="55">
                  <c:v>-2.912167589774999</c:v>
                </c:pt>
                <c:pt idx="56">
                  <c:v>-2.055125411575</c:v>
                </c:pt>
                <c:pt idx="57">
                  <c:v>0.6478537658250012</c:v>
                </c:pt>
                <c:pt idx="58">
                  <c:v>3.944169835825001</c:v>
                </c:pt>
                <c:pt idx="59">
                  <c:v>6.844927977425</c:v>
                </c:pt>
                <c:pt idx="60">
                  <c:v>8.295307048225</c:v>
                </c:pt>
                <c:pt idx="61">
                  <c:v>9.745686119025</c:v>
                </c:pt>
                <c:pt idx="62">
                  <c:v>12.316812653625002</c:v>
                </c:pt>
                <c:pt idx="63">
                  <c:v>14.360528617025002</c:v>
                </c:pt>
                <c:pt idx="64">
                  <c:v>16.733876187425004</c:v>
                </c:pt>
                <c:pt idx="65">
                  <c:v>19.107223757824997</c:v>
                </c:pt>
                <c:pt idx="66">
                  <c:v>-5.190712613530556</c:v>
                </c:pt>
                <c:pt idx="67">
                  <c:v>-3.674407221330555</c:v>
                </c:pt>
                <c:pt idx="68">
                  <c:v>-2.6195860789305554</c:v>
                </c:pt>
                <c:pt idx="69">
                  <c:v>-1.828470222130556</c:v>
                </c:pt>
                <c:pt idx="70">
                  <c:v>-1.5647649365305556</c:v>
                </c:pt>
                <c:pt idx="71">
                  <c:v>-0.6417964369305551</c:v>
                </c:pt>
                <c:pt idx="72">
                  <c:v>0.4130247054694447</c:v>
                </c:pt>
                <c:pt idx="73">
                  <c:v>5.225646167669443</c:v>
                </c:pt>
                <c:pt idx="74">
                  <c:v>10.565678201069446</c:v>
                </c:pt>
                <c:pt idx="75">
                  <c:v>14.125699556669446</c:v>
                </c:pt>
                <c:pt idx="76">
                  <c:v>17.092384019669446</c:v>
                </c:pt>
                <c:pt idx="77">
                  <c:v>19.729436875669442</c:v>
                </c:pt>
                <c:pt idx="78">
                  <c:v>22.762047660069445</c:v>
                </c:pt>
                <c:pt idx="79">
                  <c:v>24.212426730869446</c:v>
                </c:pt>
                <c:pt idx="80">
                  <c:v>-4.2735206895972215</c:v>
                </c:pt>
                <c:pt idx="81">
                  <c:v>-2.7572152973972215</c:v>
                </c:pt>
                <c:pt idx="82">
                  <c:v>-1.504615190797221</c:v>
                </c:pt>
                <c:pt idx="83">
                  <c:v>-0.5157203697972221</c:v>
                </c:pt>
                <c:pt idx="84">
                  <c:v>-0.054236119997221444</c:v>
                </c:pt>
                <c:pt idx="85">
                  <c:v>0.8028060582027781</c:v>
                </c:pt>
                <c:pt idx="86">
                  <c:v>3.044300985802778</c:v>
                </c:pt>
                <c:pt idx="87">
                  <c:v>6.142838091602778</c:v>
                </c:pt>
                <c:pt idx="88">
                  <c:v>10.691754268202779</c:v>
                </c:pt>
                <c:pt idx="89">
                  <c:v>15.174744123402778</c:v>
                </c:pt>
                <c:pt idx="90">
                  <c:v>17.877723300802778</c:v>
                </c:pt>
                <c:pt idx="91">
                  <c:v>20.976260406602776</c:v>
                </c:pt>
                <c:pt idx="92">
                  <c:v>24.20665015520278</c:v>
                </c:pt>
                <c:pt idx="93">
                  <c:v>25.393323940402777</c:v>
                </c:pt>
                <c:pt idx="94">
                  <c:v>12.31959619</c:v>
                </c:pt>
                <c:pt idx="95">
                  <c:v>5.347787336</c:v>
                </c:pt>
                <c:pt idx="96">
                  <c:v>11.281156262</c:v>
                </c:pt>
                <c:pt idx="97">
                  <c:v>17.214525188</c:v>
                </c:pt>
                <c:pt idx="98">
                  <c:v>-0.03799040739722148</c:v>
                </c:pt>
                <c:pt idx="99">
                  <c:v>1.3464623420027788</c:v>
                </c:pt>
                <c:pt idx="100">
                  <c:v>2.071651877402778</c:v>
                </c:pt>
                <c:pt idx="101">
                  <c:v>3.192399341202778</c:v>
                </c:pt>
                <c:pt idx="102">
                  <c:v>6.290936447002778</c:v>
                </c:pt>
                <c:pt idx="103">
                  <c:v>9.982810445402778</c:v>
                </c:pt>
                <c:pt idx="104">
                  <c:v>13.60875812240278</c:v>
                </c:pt>
                <c:pt idx="105">
                  <c:v>18.28952694180278</c:v>
                </c:pt>
                <c:pt idx="106">
                  <c:v>20.860653476402778</c:v>
                </c:pt>
                <c:pt idx="107">
                  <c:v>23.29992736820278</c:v>
                </c:pt>
                <c:pt idx="108">
                  <c:v>26.13475918840278</c:v>
                </c:pt>
                <c:pt idx="109">
                  <c:v>14.629501943669444</c:v>
                </c:pt>
                <c:pt idx="110">
                  <c:v>18.45322858486945</c:v>
                </c:pt>
                <c:pt idx="111">
                  <c:v>22.276955226069447</c:v>
                </c:pt>
                <c:pt idx="112">
                  <c:v>30.517745401069448</c:v>
                </c:pt>
                <c:pt idx="113">
                  <c:v>22.678630804</c:v>
                </c:pt>
                <c:pt idx="114">
                  <c:v>10.152629738</c:v>
                </c:pt>
                <c:pt idx="115">
                  <c:v>12.13041938</c:v>
                </c:pt>
                <c:pt idx="116">
                  <c:v>22.019367589999998</c:v>
                </c:pt>
                <c:pt idx="117">
                  <c:v>1.7306929554027777</c:v>
                </c:pt>
                <c:pt idx="118">
                  <c:v>14.915957235402779</c:v>
                </c:pt>
                <c:pt idx="119">
                  <c:v>31.331611264002774</c:v>
                </c:pt>
                <c:pt idx="120">
                  <c:v>17.627829432000002</c:v>
                </c:pt>
                <c:pt idx="121">
                  <c:v>11.035197292000001</c:v>
                </c:pt>
                <c:pt idx="122">
                  <c:v>13.122424627524001</c:v>
                </c:pt>
                <c:pt idx="123">
                  <c:v>15.292363712040462</c:v>
                </c:pt>
                <c:pt idx="124">
                  <c:v>1.5729213966834408</c:v>
                </c:pt>
                <c:pt idx="125">
                  <c:v>2.1798654820204004</c:v>
                </c:pt>
                <c:pt idx="126">
                  <c:v>6.352606068712001</c:v>
                </c:pt>
                <c:pt idx="127">
                  <c:v>9.3873264953968</c:v>
                </c:pt>
                <c:pt idx="128">
                  <c:v>16.974127562108798</c:v>
                </c:pt>
                <c:pt idx="129">
                  <c:v>24.5609286288208</c:v>
                </c:pt>
                <c:pt idx="130">
                  <c:v>0.6117420012000003</c:v>
                </c:pt>
                <c:pt idx="131">
                  <c:v>2.0621210720000005</c:v>
                </c:pt>
                <c:pt idx="132">
                  <c:v>2.9850895716000005</c:v>
                </c:pt>
                <c:pt idx="133">
                  <c:v>5.3584371420000005</c:v>
                </c:pt>
                <c:pt idx="134">
                  <c:v>7.336226784000001</c:v>
                </c:pt>
                <c:pt idx="135">
                  <c:v>11.291806068</c:v>
                </c:pt>
                <c:pt idx="136">
                  <c:v>14.588122138</c:v>
                </c:pt>
                <c:pt idx="137">
                  <c:v>21.180754278</c:v>
                </c:pt>
                <c:pt idx="138">
                  <c:v>23.817807134</c:v>
                </c:pt>
                <c:pt idx="139">
                  <c:v>25.136333562</c:v>
                </c:pt>
                <c:pt idx="140">
                  <c:v>30.410439273999998</c:v>
                </c:pt>
                <c:pt idx="141">
                  <c:v>2.0621210720000005</c:v>
                </c:pt>
                <c:pt idx="142">
                  <c:v>4.039910714</c:v>
                </c:pt>
                <c:pt idx="143">
                  <c:v>4.6991739280000004</c:v>
                </c:pt>
                <c:pt idx="144">
                  <c:v>6.017700356000001</c:v>
                </c:pt>
                <c:pt idx="145">
                  <c:v>10.632542854</c:v>
                </c:pt>
                <c:pt idx="146">
                  <c:v>14.588122138</c:v>
                </c:pt>
                <c:pt idx="147">
                  <c:v>19.86222785</c:v>
                </c:pt>
                <c:pt idx="148">
                  <c:v>22.499280706</c:v>
                </c:pt>
                <c:pt idx="149">
                  <c:v>26.45485999</c:v>
                </c:pt>
                <c:pt idx="150">
                  <c:v>29.091912846</c:v>
                </c:pt>
                <c:pt idx="151">
                  <c:v>31.728965701999996</c:v>
                </c:pt>
                <c:pt idx="152">
                  <c:v>11.159953425200001</c:v>
                </c:pt>
                <c:pt idx="153">
                  <c:v>15.6429432804</c:v>
                </c:pt>
                <c:pt idx="154">
                  <c:v>19.7303752072</c:v>
                </c:pt>
                <c:pt idx="155">
                  <c:v>23.817807134</c:v>
                </c:pt>
                <c:pt idx="156">
                  <c:v>30.8059972024</c:v>
                </c:pt>
                <c:pt idx="157">
                  <c:v>14.9266946537</c:v>
                </c:pt>
                <c:pt idx="158">
                  <c:v>36.418675430099995</c:v>
                </c:pt>
                <c:pt idx="159">
                  <c:v>17.651701257937603</c:v>
                </c:pt>
                <c:pt idx="160">
                  <c:v>21.14162974862512</c:v>
                </c:pt>
                <c:pt idx="161">
                  <c:v>21.663610289801433</c:v>
                </c:pt>
                <c:pt idx="162">
                  <c:v>21.55214355203586</c:v>
                </c:pt>
                <c:pt idx="163">
                  <c:v>5.224612362136114</c:v>
                </c:pt>
                <c:pt idx="164">
                  <c:v>6.081654540336114</c:v>
                </c:pt>
                <c:pt idx="165">
                  <c:v>7.729812575336114</c:v>
                </c:pt>
                <c:pt idx="166">
                  <c:v>8.916486360536112</c:v>
                </c:pt>
                <c:pt idx="167">
                  <c:v>9.773528538736112</c:v>
                </c:pt>
                <c:pt idx="168">
                  <c:v>10.103160145736114</c:v>
                </c:pt>
                <c:pt idx="169">
                  <c:v>10.564644395536114</c:v>
                </c:pt>
                <c:pt idx="170">
                  <c:v>11.883170823536114</c:v>
                </c:pt>
                <c:pt idx="171">
                  <c:v>18.146171356536115</c:v>
                </c:pt>
                <c:pt idx="172">
                  <c:v>21.903971676336113</c:v>
                </c:pt>
                <c:pt idx="173">
                  <c:v>24.606950853736112</c:v>
                </c:pt>
                <c:pt idx="174">
                  <c:v>27.705487959536114</c:v>
                </c:pt>
                <c:pt idx="175">
                  <c:v>30.540319779736112</c:v>
                </c:pt>
                <c:pt idx="176">
                  <c:v>32.05662517193611</c:v>
                </c:pt>
                <c:pt idx="177">
                  <c:v>5.313763970727244</c:v>
                </c:pt>
                <c:pt idx="178">
                  <c:v>6.895995684327244</c:v>
                </c:pt>
                <c:pt idx="179">
                  <c:v>8.214522112327245</c:v>
                </c:pt>
                <c:pt idx="180">
                  <c:v>9.137490611927245</c:v>
                </c:pt>
                <c:pt idx="181">
                  <c:v>9.796753825927244</c:v>
                </c:pt>
                <c:pt idx="182">
                  <c:v>10.983427611127244</c:v>
                </c:pt>
                <c:pt idx="183">
                  <c:v>12.961217253127243</c:v>
                </c:pt>
                <c:pt idx="184">
                  <c:v>15.598270109127244</c:v>
                </c:pt>
                <c:pt idx="185">
                  <c:v>19.487923071727245</c:v>
                </c:pt>
                <c:pt idx="186">
                  <c:v>23.443502355727244</c:v>
                </c:pt>
                <c:pt idx="187">
                  <c:v>26.87167106852724</c:v>
                </c:pt>
                <c:pt idx="188">
                  <c:v>30.233913459927244</c:v>
                </c:pt>
                <c:pt idx="189">
                  <c:v>33.068745280127246</c:v>
                </c:pt>
                <c:pt idx="190">
                  <c:v>33.85986113692724</c:v>
                </c:pt>
                <c:pt idx="191">
                  <c:v>28.155519459967397</c:v>
                </c:pt>
                <c:pt idx="192">
                  <c:v>7.3452657910694485</c:v>
                </c:pt>
                <c:pt idx="193">
                  <c:v>23.16758292706945</c:v>
                </c:pt>
                <c:pt idx="194">
                  <c:v>33.71579435106945</c:v>
                </c:pt>
                <c:pt idx="195">
                  <c:v>23.168752658108797</c:v>
                </c:pt>
                <c:pt idx="196">
                  <c:v>8.9448290445204</c:v>
                </c:pt>
                <c:pt idx="197">
                  <c:v>16.910970164568</c:v>
                </c:pt>
                <c:pt idx="198">
                  <c:v>22.8003954867664</c:v>
                </c:pt>
                <c:pt idx="199">
                  <c:v>25.07643580678</c:v>
                </c:pt>
                <c:pt idx="200">
                  <c:v>28.111156233464804</c:v>
                </c:pt>
                <c:pt idx="201">
                  <c:v>30.3871965534784</c:v>
                </c:pt>
                <c:pt idx="202">
                  <c:v>31.77420631355556</c:v>
                </c:pt>
                <c:pt idx="203">
                  <c:v>38.07125119892652</c:v>
                </c:pt>
                <c:pt idx="204">
                  <c:v>26.463445566857153</c:v>
                </c:pt>
                <c:pt idx="205">
                  <c:v>26.410373824</c:v>
                </c:pt>
                <c:pt idx="206">
                  <c:v>14.144274559646021</c:v>
                </c:pt>
                <c:pt idx="207">
                  <c:v>27.465917693045835</c:v>
                </c:pt>
                <c:pt idx="208">
                  <c:v>32.410391798045836</c:v>
                </c:pt>
                <c:pt idx="209">
                  <c:v>23.18490677008024</c:v>
                </c:pt>
                <c:pt idx="210">
                  <c:v>25.309211068759602</c:v>
                </c:pt>
                <c:pt idx="211">
                  <c:v>30.46823579412376</c:v>
                </c:pt>
                <c:pt idx="212">
                  <c:v>17.324784955471834</c:v>
                </c:pt>
                <c:pt idx="213">
                  <c:v>24.835718011516715</c:v>
                </c:pt>
                <c:pt idx="214">
                  <c:v>18.317687046000003</c:v>
                </c:pt>
                <c:pt idx="215">
                  <c:v>26.228845614</c:v>
                </c:pt>
                <c:pt idx="216">
                  <c:v>35.86351725898984</c:v>
                </c:pt>
                <c:pt idx="217">
                  <c:v>38.455635085924</c:v>
                </c:pt>
                <c:pt idx="218">
                  <c:v>51.34109468849374</c:v>
                </c:pt>
                <c:pt idx="219">
                  <c:v>53.69300301917446</c:v>
                </c:pt>
                <c:pt idx="220">
                  <c:v>49.18175978652745</c:v>
                </c:pt>
                <c:pt idx="221">
                  <c:v>57.52724095991065</c:v>
                </c:pt>
                <c:pt idx="222">
                  <c:v>54.53940927909795</c:v>
                </c:pt>
                <c:pt idx="223">
                  <c:v>57.27065766311428</c:v>
                </c:pt>
                <c:pt idx="224">
                  <c:v>43.36768360590361</c:v>
                </c:pt>
                <c:pt idx="225">
                  <c:v>56.644585472649595</c:v>
                </c:pt>
                <c:pt idx="226">
                  <c:v>39.6940074653764</c:v>
                </c:pt>
                <c:pt idx="227">
                  <c:v>46.1427883720816</c:v>
                </c:pt>
                <c:pt idx="228">
                  <c:v>57.51887284702286</c:v>
                </c:pt>
                <c:pt idx="229">
                  <c:v>60.15592570302286</c:v>
                </c:pt>
              </c:numCache>
            </c:numRef>
          </c:yVal>
          <c:smooth val="0"/>
        </c:ser>
        <c:axId val="66704775"/>
        <c:axId val="63472064"/>
      </c:scatterChart>
      <c:valAx>
        <c:axId val="6670477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ACTUAL GALLONS PER HOUR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72064"/>
        <c:crosses val="autoZero"/>
        <c:crossBetween val="midCat"/>
        <c:dispUnits/>
      </c:valAx>
      <c:valAx>
        <c:axId val="6347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CALCULATED GALLONS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04775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FUEL BY WEIGHT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data!$E$4:$E$233</c:f>
              <c:numCache>
                <c:ptCount val="230"/>
                <c:pt idx="0">
                  <c:v>1000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3469</c:v>
                </c:pt>
                <c:pt idx="12">
                  <c:v>3469</c:v>
                </c:pt>
                <c:pt idx="13">
                  <c:v>3469</c:v>
                </c:pt>
                <c:pt idx="14">
                  <c:v>3469</c:v>
                </c:pt>
                <c:pt idx="15">
                  <c:v>3469</c:v>
                </c:pt>
                <c:pt idx="16">
                  <c:v>3469</c:v>
                </c:pt>
                <c:pt idx="17">
                  <c:v>3469</c:v>
                </c:pt>
                <c:pt idx="18">
                  <c:v>3469</c:v>
                </c:pt>
                <c:pt idx="19">
                  <c:v>3469</c:v>
                </c:pt>
                <c:pt idx="20">
                  <c:v>3469</c:v>
                </c:pt>
                <c:pt idx="21">
                  <c:v>3469</c:v>
                </c:pt>
                <c:pt idx="22">
                  <c:v>3469</c:v>
                </c:pt>
                <c:pt idx="23">
                  <c:v>3469</c:v>
                </c:pt>
                <c:pt idx="24">
                  <c:v>3469</c:v>
                </c:pt>
                <c:pt idx="25">
                  <c:v>3229</c:v>
                </c:pt>
                <c:pt idx="26">
                  <c:v>3229</c:v>
                </c:pt>
                <c:pt idx="27">
                  <c:v>3229</c:v>
                </c:pt>
                <c:pt idx="28">
                  <c:v>3229</c:v>
                </c:pt>
                <c:pt idx="29">
                  <c:v>3229</c:v>
                </c:pt>
                <c:pt idx="30">
                  <c:v>3229</c:v>
                </c:pt>
                <c:pt idx="31">
                  <c:v>3229</c:v>
                </c:pt>
                <c:pt idx="32">
                  <c:v>3229</c:v>
                </c:pt>
                <c:pt idx="33">
                  <c:v>3229</c:v>
                </c:pt>
                <c:pt idx="34">
                  <c:v>3229</c:v>
                </c:pt>
                <c:pt idx="35">
                  <c:v>3229</c:v>
                </c:pt>
                <c:pt idx="36">
                  <c:v>3229</c:v>
                </c:pt>
                <c:pt idx="37">
                  <c:v>3229</c:v>
                </c:pt>
                <c:pt idx="38">
                  <c:v>3229</c:v>
                </c:pt>
                <c:pt idx="39">
                  <c:v>2967</c:v>
                </c:pt>
                <c:pt idx="40">
                  <c:v>2967</c:v>
                </c:pt>
                <c:pt idx="41">
                  <c:v>2967</c:v>
                </c:pt>
                <c:pt idx="42">
                  <c:v>2967</c:v>
                </c:pt>
                <c:pt idx="43">
                  <c:v>2967</c:v>
                </c:pt>
                <c:pt idx="44">
                  <c:v>2967</c:v>
                </c:pt>
                <c:pt idx="45">
                  <c:v>2967</c:v>
                </c:pt>
                <c:pt idx="46">
                  <c:v>2967</c:v>
                </c:pt>
                <c:pt idx="47">
                  <c:v>2967</c:v>
                </c:pt>
                <c:pt idx="48">
                  <c:v>2967</c:v>
                </c:pt>
                <c:pt idx="49">
                  <c:v>2967</c:v>
                </c:pt>
                <c:pt idx="50">
                  <c:v>2967</c:v>
                </c:pt>
                <c:pt idx="51">
                  <c:v>2967</c:v>
                </c:pt>
                <c:pt idx="52">
                  <c:v>2967</c:v>
                </c:pt>
                <c:pt idx="53">
                  <c:v>3779</c:v>
                </c:pt>
                <c:pt idx="54">
                  <c:v>3779</c:v>
                </c:pt>
                <c:pt idx="55">
                  <c:v>3779</c:v>
                </c:pt>
                <c:pt idx="56">
                  <c:v>3779</c:v>
                </c:pt>
                <c:pt idx="57">
                  <c:v>3779</c:v>
                </c:pt>
                <c:pt idx="58">
                  <c:v>3779</c:v>
                </c:pt>
                <c:pt idx="59">
                  <c:v>3779</c:v>
                </c:pt>
                <c:pt idx="60">
                  <c:v>3779</c:v>
                </c:pt>
                <c:pt idx="61">
                  <c:v>3779</c:v>
                </c:pt>
                <c:pt idx="62">
                  <c:v>3779</c:v>
                </c:pt>
                <c:pt idx="63">
                  <c:v>3779</c:v>
                </c:pt>
                <c:pt idx="64">
                  <c:v>3779</c:v>
                </c:pt>
                <c:pt idx="65">
                  <c:v>3779</c:v>
                </c:pt>
                <c:pt idx="66">
                  <c:v>4478</c:v>
                </c:pt>
                <c:pt idx="67">
                  <c:v>4478</c:v>
                </c:pt>
                <c:pt idx="68">
                  <c:v>4478</c:v>
                </c:pt>
                <c:pt idx="69">
                  <c:v>4478</c:v>
                </c:pt>
                <c:pt idx="70">
                  <c:v>4478</c:v>
                </c:pt>
                <c:pt idx="71">
                  <c:v>4478</c:v>
                </c:pt>
                <c:pt idx="72">
                  <c:v>4478</c:v>
                </c:pt>
                <c:pt idx="73">
                  <c:v>4478</c:v>
                </c:pt>
                <c:pt idx="74">
                  <c:v>4478</c:v>
                </c:pt>
                <c:pt idx="75">
                  <c:v>4478</c:v>
                </c:pt>
                <c:pt idx="76">
                  <c:v>4478</c:v>
                </c:pt>
                <c:pt idx="77">
                  <c:v>4478</c:v>
                </c:pt>
                <c:pt idx="78">
                  <c:v>4478</c:v>
                </c:pt>
                <c:pt idx="79">
                  <c:v>4478</c:v>
                </c:pt>
                <c:pt idx="80">
                  <c:v>4084</c:v>
                </c:pt>
                <c:pt idx="81">
                  <c:v>4084</c:v>
                </c:pt>
                <c:pt idx="82">
                  <c:v>4084</c:v>
                </c:pt>
                <c:pt idx="83">
                  <c:v>4084</c:v>
                </c:pt>
                <c:pt idx="84">
                  <c:v>4084</c:v>
                </c:pt>
                <c:pt idx="85">
                  <c:v>4084</c:v>
                </c:pt>
                <c:pt idx="86">
                  <c:v>4084</c:v>
                </c:pt>
                <c:pt idx="87">
                  <c:v>4084</c:v>
                </c:pt>
                <c:pt idx="88">
                  <c:v>4084</c:v>
                </c:pt>
                <c:pt idx="89">
                  <c:v>4084</c:v>
                </c:pt>
                <c:pt idx="90">
                  <c:v>4084</c:v>
                </c:pt>
                <c:pt idx="91">
                  <c:v>4084</c:v>
                </c:pt>
                <c:pt idx="92">
                  <c:v>4084</c:v>
                </c:pt>
                <c:pt idx="93">
                  <c:v>4084</c:v>
                </c:pt>
                <c:pt idx="94">
                  <c:v>2900</c:v>
                </c:pt>
                <c:pt idx="95">
                  <c:v>5000</c:v>
                </c:pt>
                <c:pt idx="96">
                  <c:v>5000</c:v>
                </c:pt>
                <c:pt idx="97">
                  <c:v>5000</c:v>
                </c:pt>
                <c:pt idx="98">
                  <c:v>6000</c:v>
                </c:pt>
                <c:pt idx="99">
                  <c:v>6000</c:v>
                </c:pt>
                <c:pt idx="100">
                  <c:v>6000</c:v>
                </c:pt>
                <c:pt idx="101">
                  <c:v>6000</c:v>
                </c:pt>
                <c:pt idx="102">
                  <c:v>6000</c:v>
                </c:pt>
                <c:pt idx="103">
                  <c:v>6000</c:v>
                </c:pt>
                <c:pt idx="104">
                  <c:v>6000</c:v>
                </c:pt>
                <c:pt idx="105">
                  <c:v>6000</c:v>
                </c:pt>
                <c:pt idx="106">
                  <c:v>6000</c:v>
                </c:pt>
                <c:pt idx="107">
                  <c:v>6000</c:v>
                </c:pt>
                <c:pt idx="108">
                  <c:v>6000</c:v>
                </c:pt>
                <c:pt idx="109">
                  <c:v>5049</c:v>
                </c:pt>
                <c:pt idx="110">
                  <c:v>5049</c:v>
                </c:pt>
                <c:pt idx="111">
                  <c:v>5049</c:v>
                </c:pt>
                <c:pt idx="112">
                  <c:v>5049</c:v>
                </c:pt>
                <c:pt idx="113">
                  <c:v>5000</c:v>
                </c:pt>
                <c:pt idx="114">
                  <c:v>4000</c:v>
                </c:pt>
                <c:pt idx="115">
                  <c:v>4800</c:v>
                </c:pt>
                <c:pt idx="116">
                  <c:v>4800</c:v>
                </c:pt>
                <c:pt idx="117">
                  <c:v>3975</c:v>
                </c:pt>
                <c:pt idx="118">
                  <c:v>3975</c:v>
                </c:pt>
                <c:pt idx="119">
                  <c:v>3975</c:v>
                </c:pt>
                <c:pt idx="120">
                  <c:v>5100</c:v>
                </c:pt>
                <c:pt idx="121">
                  <c:v>7500</c:v>
                </c:pt>
                <c:pt idx="122">
                  <c:v>7500</c:v>
                </c:pt>
                <c:pt idx="123">
                  <c:v>7000</c:v>
                </c:pt>
                <c:pt idx="124">
                  <c:v>10250</c:v>
                </c:pt>
                <c:pt idx="125">
                  <c:v>10250</c:v>
                </c:pt>
                <c:pt idx="126">
                  <c:v>10250</c:v>
                </c:pt>
                <c:pt idx="127">
                  <c:v>10250</c:v>
                </c:pt>
                <c:pt idx="128">
                  <c:v>10250</c:v>
                </c:pt>
                <c:pt idx="129">
                  <c:v>10250</c:v>
                </c:pt>
                <c:pt idx="130">
                  <c:v>10250</c:v>
                </c:pt>
                <c:pt idx="131">
                  <c:v>10250</c:v>
                </c:pt>
                <c:pt idx="132">
                  <c:v>10250</c:v>
                </c:pt>
                <c:pt idx="133">
                  <c:v>10250</c:v>
                </c:pt>
                <c:pt idx="134">
                  <c:v>10250</c:v>
                </c:pt>
                <c:pt idx="135">
                  <c:v>10250</c:v>
                </c:pt>
                <c:pt idx="136">
                  <c:v>10250</c:v>
                </c:pt>
                <c:pt idx="137">
                  <c:v>10250</c:v>
                </c:pt>
                <c:pt idx="138">
                  <c:v>10250</c:v>
                </c:pt>
                <c:pt idx="139">
                  <c:v>10250</c:v>
                </c:pt>
                <c:pt idx="140">
                  <c:v>10250</c:v>
                </c:pt>
                <c:pt idx="141">
                  <c:v>10250</c:v>
                </c:pt>
                <c:pt idx="142">
                  <c:v>10250</c:v>
                </c:pt>
                <c:pt idx="143">
                  <c:v>10250</c:v>
                </c:pt>
                <c:pt idx="144">
                  <c:v>10250</c:v>
                </c:pt>
                <c:pt idx="145">
                  <c:v>10250</c:v>
                </c:pt>
                <c:pt idx="146">
                  <c:v>10250</c:v>
                </c:pt>
                <c:pt idx="147">
                  <c:v>10250</c:v>
                </c:pt>
                <c:pt idx="148">
                  <c:v>10250</c:v>
                </c:pt>
                <c:pt idx="149">
                  <c:v>10250</c:v>
                </c:pt>
                <c:pt idx="150">
                  <c:v>10250</c:v>
                </c:pt>
                <c:pt idx="151">
                  <c:v>10250</c:v>
                </c:pt>
                <c:pt idx="152">
                  <c:v>6795</c:v>
                </c:pt>
                <c:pt idx="153">
                  <c:v>6795</c:v>
                </c:pt>
                <c:pt idx="154">
                  <c:v>6795</c:v>
                </c:pt>
                <c:pt idx="155">
                  <c:v>6795</c:v>
                </c:pt>
                <c:pt idx="156">
                  <c:v>6795</c:v>
                </c:pt>
                <c:pt idx="157">
                  <c:v>5000</c:v>
                </c:pt>
                <c:pt idx="158">
                  <c:v>5000</c:v>
                </c:pt>
                <c:pt idx="159">
                  <c:v>10000</c:v>
                </c:pt>
                <c:pt idx="160">
                  <c:v>10000</c:v>
                </c:pt>
                <c:pt idx="161">
                  <c:v>11500</c:v>
                </c:pt>
                <c:pt idx="162">
                  <c:v>10000</c:v>
                </c:pt>
                <c:pt idx="163">
                  <c:v>12854</c:v>
                </c:pt>
                <c:pt idx="164">
                  <c:v>12854</c:v>
                </c:pt>
                <c:pt idx="165">
                  <c:v>12854</c:v>
                </c:pt>
                <c:pt idx="166">
                  <c:v>12854</c:v>
                </c:pt>
                <c:pt idx="167">
                  <c:v>12854</c:v>
                </c:pt>
                <c:pt idx="168">
                  <c:v>12854</c:v>
                </c:pt>
                <c:pt idx="169">
                  <c:v>12854</c:v>
                </c:pt>
                <c:pt idx="170">
                  <c:v>12854</c:v>
                </c:pt>
                <c:pt idx="171">
                  <c:v>12854</c:v>
                </c:pt>
                <c:pt idx="172">
                  <c:v>12854</c:v>
                </c:pt>
                <c:pt idx="173">
                  <c:v>12854</c:v>
                </c:pt>
                <c:pt idx="174">
                  <c:v>12854</c:v>
                </c:pt>
                <c:pt idx="175">
                  <c:v>12854</c:v>
                </c:pt>
                <c:pt idx="176">
                  <c:v>12854</c:v>
                </c:pt>
                <c:pt idx="177">
                  <c:v>11097</c:v>
                </c:pt>
                <c:pt idx="178">
                  <c:v>11097</c:v>
                </c:pt>
                <c:pt idx="179">
                  <c:v>11097</c:v>
                </c:pt>
                <c:pt idx="180">
                  <c:v>11097</c:v>
                </c:pt>
                <c:pt idx="181">
                  <c:v>11097</c:v>
                </c:pt>
                <c:pt idx="182">
                  <c:v>11097</c:v>
                </c:pt>
                <c:pt idx="183">
                  <c:v>11097</c:v>
                </c:pt>
                <c:pt idx="184">
                  <c:v>11097</c:v>
                </c:pt>
                <c:pt idx="185">
                  <c:v>11097</c:v>
                </c:pt>
                <c:pt idx="186">
                  <c:v>11097</c:v>
                </c:pt>
                <c:pt idx="187">
                  <c:v>11097</c:v>
                </c:pt>
                <c:pt idx="188">
                  <c:v>11097</c:v>
                </c:pt>
                <c:pt idx="189">
                  <c:v>11097</c:v>
                </c:pt>
                <c:pt idx="190">
                  <c:v>11097</c:v>
                </c:pt>
                <c:pt idx="191">
                  <c:v>6500</c:v>
                </c:pt>
                <c:pt idx="192">
                  <c:v>7500</c:v>
                </c:pt>
                <c:pt idx="193">
                  <c:v>7500</c:v>
                </c:pt>
                <c:pt idx="194">
                  <c:v>7500</c:v>
                </c:pt>
                <c:pt idx="195">
                  <c:v>9000</c:v>
                </c:pt>
                <c:pt idx="196">
                  <c:v>22000</c:v>
                </c:pt>
                <c:pt idx="197">
                  <c:v>22000</c:v>
                </c:pt>
                <c:pt idx="198">
                  <c:v>15870</c:v>
                </c:pt>
                <c:pt idx="199">
                  <c:v>15870</c:v>
                </c:pt>
                <c:pt idx="200">
                  <c:v>15870</c:v>
                </c:pt>
                <c:pt idx="201">
                  <c:v>15870</c:v>
                </c:pt>
                <c:pt idx="202">
                  <c:v>9520</c:v>
                </c:pt>
                <c:pt idx="203">
                  <c:v>9520</c:v>
                </c:pt>
                <c:pt idx="204">
                  <c:v>12500</c:v>
                </c:pt>
                <c:pt idx="205">
                  <c:v>17000</c:v>
                </c:pt>
                <c:pt idx="206">
                  <c:v>47000</c:v>
                </c:pt>
                <c:pt idx="207">
                  <c:v>24746</c:v>
                </c:pt>
                <c:pt idx="208">
                  <c:v>24746</c:v>
                </c:pt>
                <c:pt idx="209">
                  <c:v>30000</c:v>
                </c:pt>
                <c:pt idx="210">
                  <c:v>30000</c:v>
                </c:pt>
                <c:pt idx="211">
                  <c:v>30000</c:v>
                </c:pt>
                <c:pt idx="212">
                  <c:v>22000</c:v>
                </c:pt>
                <c:pt idx="213">
                  <c:v>22000</c:v>
                </c:pt>
                <c:pt idx="214">
                  <c:v>25000</c:v>
                </c:pt>
                <c:pt idx="215">
                  <c:v>25000</c:v>
                </c:pt>
                <c:pt idx="216">
                  <c:v>28500</c:v>
                </c:pt>
                <c:pt idx="217">
                  <c:v>40000</c:v>
                </c:pt>
                <c:pt idx="218">
                  <c:v>33150</c:v>
                </c:pt>
                <c:pt idx="219">
                  <c:v>33150</c:v>
                </c:pt>
                <c:pt idx="220">
                  <c:v>58814</c:v>
                </c:pt>
                <c:pt idx="221">
                  <c:v>58814</c:v>
                </c:pt>
                <c:pt idx="222">
                  <c:v>46000</c:v>
                </c:pt>
                <c:pt idx="223">
                  <c:v>46000</c:v>
                </c:pt>
                <c:pt idx="224">
                  <c:v>40000</c:v>
                </c:pt>
                <c:pt idx="225">
                  <c:v>40000</c:v>
                </c:pt>
                <c:pt idx="226">
                  <c:v>50000</c:v>
                </c:pt>
                <c:pt idx="227">
                  <c:v>50000</c:v>
                </c:pt>
                <c:pt idx="228">
                  <c:v>53000</c:v>
                </c:pt>
                <c:pt idx="229">
                  <c:v>53000</c:v>
                </c:pt>
              </c:numCache>
            </c:numRef>
          </c:xVal>
          <c:yVal>
            <c:numRef>
              <c:f>data!$K$4:$K$233</c:f>
              <c:numCache>
                <c:ptCount val="230"/>
                <c:pt idx="0">
                  <c:v>7.32</c:v>
                </c:pt>
                <c:pt idx="1">
                  <c:v>7.5</c:v>
                </c:pt>
                <c:pt idx="2">
                  <c:v>4.888888888888889</c:v>
                </c:pt>
                <c:pt idx="3">
                  <c:v>3.5625</c:v>
                </c:pt>
                <c:pt idx="4">
                  <c:v>3.7222222222222223</c:v>
                </c:pt>
                <c:pt idx="5">
                  <c:v>7.461538461538461</c:v>
                </c:pt>
                <c:pt idx="6">
                  <c:v>7.05</c:v>
                </c:pt>
                <c:pt idx="7">
                  <c:v>5.796610169491526</c:v>
                </c:pt>
                <c:pt idx="8">
                  <c:v>4.895348837209303</c:v>
                </c:pt>
                <c:pt idx="9">
                  <c:v>3.763779527559055</c:v>
                </c:pt>
                <c:pt idx="10">
                  <c:v>2.9944444444444445</c:v>
                </c:pt>
                <c:pt idx="11">
                  <c:v>11.333333333333334</c:v>
                </c:pt>
                <c:pt idx="12">
                  <c:v>7.5</c:v>
                </c:pt>
                <c:pt idx="13">
                  <c:v>5.818181818181818</c:v>
                </c:pt>
                <c:pt idx="14">
                  <c:v>4.052631578947369</c:v>
                </c:pt>
                <c:pt idx="15">
                  <c:v>3.0312499999999996</c:v>
                </c:pt>
                <c:pt idx="16">
                  <c:v>4.2</c:v>
                </c:pt>
                <c:pt idx="17">
                  <c:v>5.315789473684211</c:v>
                </c:pt>
                <c:pt idx="18">
                  <c:v>5.409090909090909</c:v>
                </c:pt>
                <c:pt idx="19">
                  <c:v>5.346938775510203</c:v>
                </c:pt>
                <c:pt idx="20">
                  <c:v>4.80952380952381</c:v>
                </c:pt>
                <c:pt idx="21">
                  <c:v>3.4591836734693873</c:v>
                </c:pt>
                <c:pt idx="22">
                  <c:v>2.9838709677419355</c:v>
                </c:pt>
                <c:pt idx="23">
                  <c:v>3.125925925925926</c:v>
                </c:pt>
                <c:pt idx="24">
                  <c:v>3.125925925925926</c:v>
                </c:pt>
                <c:pt idx="25">
                  <c:v>7.666666666666666</c:v>
                </c:pt>
                <c:pt idx="26">
                  <c:v>7.5</c:v>
                </c:pt>
                <c:pt idx="27">
                  <c:v>5</c:v>
                </c:pt>
                <c:pt idx="28">
                  <c:v>3.6190476190476186</c:v>
                </c:pt>
                <c:pt idx="29">
                  <c:v>2.545454545454546</c:v>
                </c:pt>
                <c:pt idx="30">
                  <c:v>2.275</c:v>
                </c:pt>
                <c:pt idx="31">
                  <c:v>2.217391304347826</c:v>
                </c:pt>
                <c:pt idx="32">
                  <c:v>4.190476190476191</c:v>
                </c:pt>
                <c:pt idx="33">
                  <c:v>5.24</c:v>
                </c:pt>
                <c:pt idx="34">
                  <c:v>4.295774647887324</c:v>
                </c:pt>
                <c:pt idx="35">
                  <c:v>3.954022988505747</c:v>
                </c:pt>
                <c:pt idx="36">
                  <c:v>3.4454545454545453</c:v>
                </c:pt>
                <c:pt idx="37">
                  <c:v>3.16793893129771</c:v>
                </c:pt>
                <c:pt idx="38">
                  <c:v>3.221374045801527</c:v>
                </c:pt>
                <c:pt idx="39">
                  <c:v>6.666666666666667</c:v>
                </c:pt>
                <c:pt idx="40">
                  <c:v>7.249999999999999</c:v>
                </c:pt>
                <c:pt idx="41">
                  <c:v>6.25</c:v>
                </c:pt>
                <c:pt idx="42">
                  <c:v>4.769230769230769</c:v>
                </c:pt>
                <c:pt idx="43">
                  <c:v>3.7</c:v>
                </c:pt>
                <c:pt idx="44">
                  <c:v>3.8260869565217397</c:v>
                </c:pt>
                <c:pt idx="45">
                  <c:v>4.259259259259259</c:v>
                </c:pt>
                <c:pt idx="46">
                  <c:v>5.6000000000000005</c:v>
                </c:pt>
                <c:pt idx="47">
                  <c:v>6.374999999999999</c:v>
                </c:pt>
                <c:pt idx="48">
                  <c:v>6.15</c:v>
                </c:pt>
                <c:pt idx="49">
                  <c:v>5.549019607843138</c:v>
                </c:pt>
                <c:pt idx="50">
                  <c:v>4.661764705882353</c:v>
                </c:pt>
                <c:pt idx="51">
                  <c:v>4.129411764705883</c:v>
                </c:pt>
                <c:pt idx="52">
                  <c:v>3.6697247706422016</c:v>
                </c:pt>
                <c:pt idx="53">
                  <c:v>8.333333333333334</c:v>
                </c:pt>
                <c:pt idx="54">
                  <c:v>7.000000000000001</c:v>
                </c:pt>
                <c:pt idx="55">
                  <c:v>5.750000000000001</c:v>
                </c:pt>
                <c:pt idx="56">
                  <c:v>3.7272727272727266</c:v>
                </c:pt>
                <c:pt idx="57">
                  <c:v>3.5142857142857147</c:v>
                </c:pt>
                <c:pt idx="58">
                  <c:v>4.325</c:v>
                </c:pt>
                <c:pt idx="59">
                  <c:v>4.931818181818182</c:v>
                </c:pt>
                <c:pt idx="60">
                  <c:v>4.779999999999999</c:v>
                </c:pt>
                <c:pt idx="61">
                  <c:v>4.578947368421053</c:v>
                </c:pt>
                <c:pt idx="62">
                  <c:v>4.225352112676057</c:v>
                </c:pt>
                <c:pt idx="63">
                  <c:v>3.4842105263157896</c:v>
                </c:pt>
                <c:pt idx="64">
                  <c:v>2.912698412698413</c:v>
                </c:pt>
                <c:pt idx="65">
                  <c:v>2.741496598639456</c:v>
                </c:pt>
                <c:pt idx="66">
                  <c:v>10.333333333333334</c:v>
                </c:pt>
                <c:pt idx="67">
                  <c:v>6.75</c:v>
                </c:pt>
                <c:pt idx="68">
                  <c:v>4.375</c:v>
                </c:pt>
                <c:pt idx="69">
                  <c:v>2.5624999999999996</c:v>
                </c:pt>
                <c:pt idx="70">
                  <c:v>1.72</c:v>
                </c:pt>
                <c:pt idx="71">
                  <c:v>1.5384615384615385</c:v>
                </c:pt>
                <c:pt idx="72">
                  <c:v>1.7058823529411764</c:v>
                </c:pt>
                <c:pt idx="73">
                  <c:v>2.6999999999999997</c:v>
                </c:pt>
                <c:pt idx="74">
                  <c:v>3.2926829268292686</c:v>
                </c:pt>
                <c:pt idx="75">
                  <c:v>3.3402061855670104</c:v>
                </c:pt>
                <c:pt idx="76">
                  <c:v>3.0749999999999997</c:v>
                </c:pt>
                <c:pt idx="77">
                  <c:v>2.4939024390243905</c:v>
                </c:pt>
                <c:pt idx="78">
                  <c:v>2.1875</c:v>
                </c:pt>
                <c:pt idx="79">
                  <c:v>2.293269230769231</c:v>
                </c:pt>
                <c:pt idx="80">
                  <c:v>8.333333333333334</c:v>
                </c:pt>
                <c:pt idx="81">
                  <c:v>6.857142857142858</c:v>
                </c:pt>
                <c:pt idx="82">
                  <c:v>4.466666666666667</c:v>
                </c:pt>
                <c:pt idx="83">
                  <c:v>3.0370370370370368</c:v>
                </c:pt>
                <c:pt idx="84">
                  <c:v>2.1707317073170733</c:v>
                </c:pt>
                <c:pt idx="85">
                  <c:v>2.125</c:v>
                </c:pt>
                <c:pt idx="86">
                  <c:v>2.428571428571429</c:v>
                </c:pt>
                <c:pt idx="87">
                  <c:v>3.4528301886792456</c:v>
                </c:pt>
                <c:pt idx="88">
                  <c:v>4.344827586206897</c:v>
                </c:pt>
                <c:pt idx="89">
                  <c:v>3.9506172839506175</c:v>
                </c:pt>
                <c:pt idx="90">
                  <c:v>3.373831775700935</c:v>
                </c:pt>
                <c:pt idx="91">
                  <c:v>2.5030674846625764</c:v>
                </c:pt>
                <c:pt idx="92">
                  <c:v>2.155660377358491</c:v>
                </c:pt>
                <c:pt idx="93">
                  <c:v>2.240566037735849</c:v>
                </c:pt>
                <c:pt idx="94">
                  <c:v>3.068181818181818</c:v>
                </c:pt>
                <c:pt idx="95">
                  <c:v>4.666666666666667</c:v>
                </c:pt>
                <c:pt idx="96">
                  <c:v>3.6507936507936507</c:v>
                </c:pt>
                <c:pt idx="97">
                  <c:v>3.0476190476190474</c:v>
                </c:pt>
                <c:pt idx="98">
                  <c:v>4.076923076923077</c:v>
                </c:pt>
                <c:pt idx="99">
                  <c:v>3.5238095238095237</c:v>
                </c:pt>
                <c:pt idx="100">
                  <c:v>2.8333333333333335</c:v>
                </c:pt>
                <c:pt idx="101">
                  <c:v>2</c:v>
                </c:pt>
                <c:pt idx="102">
                  <c:v>1.7529411764705882</c:v>
                </c:pt>
                <c:pt idx="103">
                  <c:v>1.9339622641509435</c:v>
                </c:pt>
                <c:pt idx="104">
                  <c:v>1.9259259259259258</c:v>
                </c:pt>
                <c:pt idx="105">
                  <c:v>2.5461538461538464</c:v>
                </c:pt>
                <c:pt idx="106">
                  <c:v>2.0555555555555554</c:v>
                </c:pt>
                <c:pt idx="107">
                  <c:v>1.5186567164179106</c:v>
                </c:pt>
                <c:pt idx="108">
                  <c:v>1.4851485148514851</c:v>
                </c:pt>
                <c:pt idx="109">
                  <c:v>3.59</c:v>
                </c:pt>
                <c:pt idx="110">
                  <c:v>3.89</c:v>
                </c:pt>
                <c:pt idx="111">
                  <c:v>3.16</c:v>
                </c:pt>
                <c:pt idx="112">
                  <c:v>2.43</c:v>
                </c:pt>
                <c:pt idx="113">
                  <c:v>1.95</c:v>
                </c:pt>
                <c:pt idx="114">
                  <c:v>3.076923076923077</c:v>
                </c:pt>
                <c:pt idx="115">
                  <c:v>2.1296296296296293</c:v>
                </c:pt>
                <c:pt idx="116">
                  <c:v>1.4728682170542635</c:v>
                </c:pt>
                <c:pt idx="117">
                  <c:v>2.4</c:v>
                </c:pt>
                <c:pt idx="118">
                  <c:v>3.6619718309859155</c:v>
                </c:pt>
                <c:pt idx="119">
                  <c:v>1.2004716981132075</c:v>
                </c:pt>
                <c:pt idx="120">
                  <c:v>3.75</c:v>
                </c:pt>
                <c:pt idx="121">
                  <c:v>1.54</c:v>
                </c:pt>
                <c:pt idx="122">
                  <c:v>1.44</c:v>
                </c:pt>
                <c:pt idx="123">
                  <c:v>1.9548872180451127</c:v>
                </c:pt>
                <c:pt idx="124">
                  <c:v>2.13</c:v>
                </c:pt>
                <c:pt idx="125">
                  <c:v>1.29</c:v>
                </c:pt>
                <c:pt idx="126">
                  <c:v>2.56</c:v>
                </c:pt>
                <c:pt idx="127">
                  <c:v>1.34</c:v>
                </c:pt>
                <c:pt idx="128">
                  <c:v>1.53</c:v>
                </c:pt>
                <c:pt idx="129">
                  <c:v>1.78</c:v>
                </c:pt>
                <c:pt idx="130">
                  <c:v>2.8</c:v>
                </c:pt>
                <c:pt idx="131">
                  <c:v>1.67</c:v>
                </c:pt>
                <c:pt idx="132">
                  <c:v>1.6</c:v>
                </c:pt>
                <c:pt idx="133">
                  <c:v>1.43</c:v>
                </c:pt>
                <c:pt idx="134">
                  <c:v>1.3</c:v>
                </c:pt>
                <c:pt idx="135">
                  <c:v>1.19</c:v>
                </c:pt>
                <c:pt idx="136">
                  <c:v>1.28</c:v>
                </c:pt>
                <c:pt idx="137">
                  <c:v>1.7</c:v>
                </c:pt>
                <c:pt idx="138">
                  <c:v>1.36</c:v>
                </c:pt>
                <c:pt idx="139">
                  <c:v>1.25</c:v>
                </c:pt>
                <c:pt idx="140">
                  <c:v>1.26</c:v>
                </c:pt>
                <c:pt idx="141">
                  <c:v>5</c:v>
                </c:pt>
                <c:pt idx="142">
                  <c:v>5.33</c:v>
                </c:pt>
                <c:pt idx="143">
                  <c:v>2.25</c:v>
                </c:pt>
                <c:pt idx="144">
                  <c:v>1.38</c:v>
                </c:pt>
                <c:pt idx="145">
                  <c:v>1.5</c:v>
                </c:pt>
                <c:pt idx="146">
                  <c:v>1.5</c:v>
                </c:pt>
                <c:pt idx="147">
                  <c:v>1.78</c:v>
                </c:pt>
                <c:pt idx="148">
                  <c:v>1.5</c:v>
                </c:pt>
                <c:pt idx="149">
                  <c:v>1.45</c:v>
                </c:pt>
                <c:pt idx="150">
                  <c:v>1.35</c:v>
                </c:pt>
                <c:pt idx="151">
                  <c:v>1.28</c:v>
                </c:pt>
                <c:pt idx="152">
                  <c:v>2.02</c:v>
                </c:pt>
                <c:pt idx="153">
                  <c:v>2.06</c:v>
                </c:pt>
                <c:pt idx="154">
                  <c:v>2.09</c:v>
                </c:pt>
                <c:pt idx="155">
                  <c:v>1.78</c:v>
                </c:pt>
                <c:pt idx="156">
                  <c:v>1.38</c:v>
                </c:pt>
                <c:pt idx="157">
                  <c:v>2.5591397849462365</c:v>
                </c:pt>
                <c:pt idx="158">
                  <c:v>1.4611398963730569</c:v>
                </c:pt>
                <c:pt idx="159">
                  <c:v>2.4507777777777777</c:v>
                </c:pt>
                <c:pt idx="160">
                  <c:v>1.868357647058824</c:v>
                </c:pt>
                <c:pt idx="161">
                  <c:v>1.3043478260869565</c:v>
                </c:pt>
                <c:pt idx="162">
                  <c:v>1.798125</c:v>
                </c:pt>
                <c:pt idx="163">
                  <c:v>6</c:v>
                </c:pt>
                <c:pt idx="164">
                  <c:v>3.5000000000000004</c:v>
                </c:pt>
                <c:pt idx="165">
                  <c:v>2.6428571428571432</c:v>
                </c:pt>
                <c:pt idx="166">
                  <c:v>1.769230769230769</c:v>
                </c:pt>
                <c:pt idx="167">
                  <c:v>1.1797752808988764</c:v>
                </c:pt>
                <c:pt idx="168">
                  <c:v>1.0091743119266054</c:v>
                </c:pt>
                <c:pt idx="169">
                  <c:v>0.9831932773109243</c:v>
                </c:pt>
                <c:pt idx="170">
                  <c:v>1.0620155038759689</c:v>
                </c:pt>
                <c:pt idx="171">
                  <c:v>1.3488372093023255</c:v>
                </c:pt>
                <c:pt idx="172">
                  <c:v>1.3632075471698113</c:v>
                </c:pt>
                <c:pt idx="173">
                  <c:v>1.2741312741312742</c:v>
                </c:pt>
                <c:pt idx="174">
                  <c:v>1.1671826625386998</c:v>
                </c:pt>
                <c:pt idx="175">
                  <c:v>1.0769230769230769</c:v>
                </c:pt>
                <c:pt idx="176">
                  <c:v>1.0572792362768497</c:v>
                </c:pt>
                <c:pt idx="177">
                  <c:v>6</c:v>
                </c:pt>
                <c:pt idx="178">
                  <c:v>3.75</c:v>
                </c:pt>
                <c:pt idx="179">
                  <c:v>2.6666666666666665</c:v>
                </c:pt>
                <c:pt idx="180">
                  <c:v>1.6785714285714288</c:v>
                </c:pt>
                <c:pt idx="181">
                  <c:v>1.1063829787234043</c:v>
                </c:pt>
                <c:pt idx="182">
                  <c:v>1.0166666666666666</c:v>
                </c:pt>
                <c:pt idx="183">
                  <c:v>1.0133333333333332</c:v>
                </c:pt>
                <c:pt idx="184">
                  <c:v>1.2972972972972971</c:v>
                </c:pt>
                <c:pt idx="185">
                  <c:v>1.549382716049383</c:v>
                </c:pt>
                <c:pt idx="186">
                  <c:v>1.6542553191489362</c:v>
                </c:pt>
                <c:pt idx="187">
                  <c:v>1.564655172413793</c:v>
                </c:pt>
                <c:pt idx="188">
                  <c:v>1.3986486486486485</c:v>
                </c:pt>
                <c:pt idx="189">
                  <c:v>1.1839378238341969</c:v>
                </c:pt>
                <c:pt idx="190">
                  <c:v>1.0806451612903225</c:v>
                </c:pt>
                <c:pt idx="191">
                  <c:v>1.4892705882352941</c:v>
                </c:pt>
                <c:pt idx="192">
                  <c:v>1.5584415584415585</c:v>
                </c:pt>
                <c:pt idx="193">
                  <c:v>1.3157894736842104</c:v>
                </c:pt>
                <c:pt idx="194">
                  <c:v>0.7750631844987363</c:v>
                </c:pt>
                <c:pt idx="195">
                  <c:v>3.0688</c:v>
                </c:pt>
                <c:pt idx="196">
                  <c:v>2.3539090909090907</c:v>
                </c:pt>
                <c:pt idx="197">
                  <c:v>1.233</c:v>
                </c:pt>
                <c:pt idx="198">
                  <c:v>0.8439200000000001</c:v>
                </c:pt>
                <c:pt idx="199">
                  <c:v>1.3077272727272726</c:v>
                </c:pt>
                <c:pt idx="200">
                  <c:v>1.2835846153846155</c:v>
                </c:pt>
                <c:pt idx="201">
                  <c:v>0.7515428571428572</c:v>
                </c:pt>
                <c:pt idx="202">
                  <c:v>1.2311733333333335</c:v>
                </c:pt>
                <c:pt idx="203">
                  <c:v>0.80556</c:v>
                </c:pt>
                <c:pt idx="204">
                  <c:v>0.957207476635514</c:v>
                </c:pt>
                <c:pt idx="205">
                  <c:v>1.3181818181818181</c:v>
                </c:pt>
                <c:pt idx="206">
                  <c:v>2.95372</c:v>
                </c:pt>
                <c:pt idx="207">
                  <c:v>0.7638888888888888</c:v>
                </c:pt>
                <c:pt idx="208">
                  <c:v>0.5833333333333334</c:v>
                </c:pt>
                <c:pt idx="209">
                  <c:v>0.885615652173913</c:v>
                </c:pt>
                <c:pt idx="210">
                  <c:v>0.78638</c:v>
                </c:pt>
                <c:pt idx="211">
                  <c:v>0.826758947368421</c:v>
                </c:pt>
                <c:pt idx="212">
                  <c:v>7.36512</c:v>
                </c:pt>
                <c:pt idx="213">
                  <c:v>4.119864</c:v>
                </c:pt>
                <c:pt idx="214">
                  <c:v>5.833333333333334</c:v>
                </c:pt>
                <c:pt idx="215">
                  <c:v>1.9</c:v>
                </c:pt>
                <c:pt idx="216">
                  <c:v>1.3426</c:v>
                </c:pt>
                <c:pt idx="217">
                  <c:v>0.6576000000000001</c:v>
                </c:pt>
                <c:pt idx="218">
                  <c:v>0.7408275</c:v>
                </c:pt>
                <c:pt idx="219">
                  <c:v>0.6113625</c:v>
                </c:pt>
                <c:pt idx="220">
                  <c:v>0.5860555555555556</c:v>
                </c:pt>
                <c:pt idx="221">
                  <c:v>0.35444640000000005</c:v>
                </c:pt>
                <c:pt idx="222">
                  <c:v>0.644448</c:v>
                </c:pt>
                <c:pt idx="223">
                  <c:v>0.5655359999999999</c:v>
                </c:pt>
                <c:pt idx="224">
                  <c:v>0.7134960000000001</c:v>
                </c:pt>
                <c:pt idx="225">
                  <c:v>0.474705</c:v>
                </c:pt>
                <c:pt idx="226">
                  <c:v>0.91105</c:v>
                </c:pt>
                <c:pt idx="227">
                  <c:v>0.7876197718631179</c:v>
                </c:pt>
                <c:pt idx="228">
                  <c:v>0.4444444444444444</c:v>
                </c:pt>
                <c:pt idx="229">
                  <c:v>0.42857142857142855</c:v>
                </c:pt>
              </c:numCache>
            </c:numRef>
          </c:yVal>
          <c:smooth val="0"/>
        </c:ser>
        <c:axId val="34377665"/>
        <c:axId val="40963530"/>
      </c:scatterChart>
      <c:valAx>
        <c:axId val="34377665"/>
        <c:scaling>
          <c:logBase val="10"/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DISPLACEMENT (pounds)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63530"/>
        <c:crosses val="autoZero"/>
        <c:crossBetween val="midCat"/>
        <c:dispUnits/>
      </c:valAx>
      <c:valAx>
        <c:axId val="4096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FUEL (miles per gallon)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552450</xdr:colOff>
      <xdr:row>23</xdr:row>
      <xdr:rowOff>28575</xdr:rowOff>
    </xdr:to>
    <xdr:graphicFrame>
      <xdr:nvGraphicFramePr>
        <xdr:cNvPr id="1" name="Chart 6"/>
        <xdr:cNvGraphicFramePr/>
      </xdr:nvGraphicFramePr>
      <xdr:xfrm>
        <a:off x="28575" y="0"/>
        <a:ext cx="6010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142875</xdr:rowOff>
    </xdr:from>
    <xdr:to>
      <xdr:col>9</xdr:col>
      <xdr:colOff>590550</xdr:colOff>
      <xdr:row>48</xdr:row>
      <xdr:rowOff>19050</xdr:rowOff>
    </xdr:to>
    <xdr:graphicFrame>
      <xdr:nvGraphicFramePr>
        <xdr:cNvPr id="2" name="Chart 7"/>
        <xdr:cNvGraphicFramePr/>
      </xdr:nvGraphicFramePr>
      <xdr:xfrm>
        <a:off x="57150" y="4029075"/>
        <a:ext cx="6019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19</xdr:col>
      <xdr:colOff>590550</xdr:colOff>
      <xdr:row>23</xdr:row>
      <xdr:rowOff>47625</xdr:rowOff>
    </xdr:to>
    <xdr:graphicFrame>
      <xdr:nvGraphicFramePr>
        <xdr:cNvPr id="3" name="Chart 8"/>
        <xdr:cNvGraphicFramePr/>
      </xdr:nvGraphicFramePr>
      <xdr:xfrm>
        <a:off x="6153150" y="0"/>
        <a:ext cx="60198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114300</xdr:colOff>
      <xdr:row>24</xdr:row>
      <xdr:rowOff>142875</xdr:rowOff>
    </xdr:from>
    <xdr:to>
      <xdr:col>19</xdr:col>
      <xdr:colOff>590550</xdr:colOff>
      <xdr:row>48</xdr:row>
      <xdr:rowOff>19050</xdr:rowOff>
    </xdr:to>
    <xdr:graphicFrame>
      <xdr:nvGraphicFramePr>
        <xdr:cNvPr id="4" name="Chart 9"/>
        <xdr:cNvGraphicFramePr/>
      </xdr:nvGraphicFramePr>
      <xdr:xfrm>
        <a:off x="6210300" y="4029075"/>
        <a:ext cx="59626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atwakes.homestead.com/files/graph.htm" TargetMode="External" /><Relationship Id="rId2" Type="http://schemas.openxmlformats.org/officeDocument/2006/relationships/hyperlink" Target="http://boatwakes.homestead.com/files/fuel.xls" TargetMode="External" /><Relationship Id="rId3" Type="http://schemas.openxmlformats.org/officeDocument/2006/relationships/hyperlink" Target="http://fuel.boatwakes.org/" TargetMode="External" /><Relationship Id="rId4" Type="http://schemas.openxmlformats.org/officeDocument/2006/relationships/hyperlink" Target="http://boatwakes.org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ostonwhaler.com/rec/pdfs/performance/19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33"/>
  <sheetViews>
    <sheetView workbookViewId="0" topLeftCell="A1">
      <pane ySplit="3" topLeftCell="BM4" activePane="bottomLeft" state="frozen"/>
      <selection pane="topLeft" activeCell="B1" sqref="B1"/>
      <selection pane="bottomLeft" activeCell="C1" sqref="C1"/>
    </sheetView>
  </sheetViews>
  <sheetFormatPr defaultColWidth="9.140625" defaultRowHeight="12.75"/>
  <cols>
    <col min="1" max="1" width="21.140625" style="3" customWidth="1"/>
    <col min="2" max="2" width="7.00390625" style="53" customWidth="1"/>
    <col min="3" max="3" width="5.28125" style="5" customWidth="1"/>
    <col min="4" max="4" width="4.421875" style="5" customWidth="1"/>
    <col min="5" max="5" width="7.7109375" style="25" customWidth="1"/>
    <col min="6" max="7" width="6.00390625" style="4" customWidth="1"/>
    <col min="8" max="8" width="6.00390625" style="38" customWidth="1"/>
    <col min="9" max="9" width="5.140625" style="4" customWidth="1"/>
    <col min="10" max="10" width="7.140625" style="28" customWidth="1"/>
    <col min="11" max="11" width="7.57421875" style="6" customWidth="1"/>
    <col min="12" max="12" width="7.28125" style="40" customWidth="1"/>
    <col min="13" max="13" width="25.8515625" style="3" customWidth="1"/>
    <col min="14" max="14" width="18.28125" style="29" customWidth="1"/>
    <col min="15" max="15" width="12.28125" style="21" customWidth="1"/>
    <col min="16" max="16" width="3.7109375" style="129" customWidth="1"/>
    <col min="17" max="16384" width="10.00390625" style="7" customWidth="1"/>
  </cols>
  <sheetData>
    <row r="1" spans="1:11" ht="15">
      <c r="A1" s="27" t="s">
        <v>193</v>
      </c>
      <c r="C1" s="124" t="s">
        <v>198</v>
      </c>
      <c r="H1" s="7"/>
      <c r="J1" s="7"/>
      <c r="K1" s="135" t="s">
        <v>210</v>
      </c>
    </row>
    <row r="2" spans="1:15" s="20" customFormat="1" ht="16.5" customHeight="1">
      <c r="A2" s="123" t="s">
        <v>214</v>
      </c>
      <c r="C2" s="33"/>
      <c r="D2" s="18"/>
      <c r="F2" s="17"/>
      <c r="G2" s="47">
        <v>2</v>
      </c>
      <c r="H2" s="35"/>
      <c r="I2" s="19">
        <v>1.1508</v>
      </c>
      <c r="J2" s="128"/>
      <c r="K2" s="18"/>
      <c r="L2" s="42"/>
      <c r="M2" s="16"/>
      <c r="N2" s="31"/>
      <c r="O2" s="24"/>
    </row>
    <row r="3" spans="1:16" s="11" customFormat="1" ht="114.75" customHeight="1">
      <c r="A3" s="136" t="s">
        <v>213</v>
      </c>
      <c r="B3" s="54" t="s">
        <v>154</v>
      </c>
      <c r="C3" s="10" t="s">
        <v>147</v>
      </c>
      <c r="D3" s="10" t="s">
        <v>148</v>
      </c>
      <c r="E3" s="26" t="s">
        <v>212</v>
      </c>
      <c r="F3" s="9" t="s">
        <v>146</v>
      </c>
      <c r="G3" s="9" t="s">
        <v>185</v>
      </c>
      <c r="H3" s="34" t="s">
        <v>149</v>
      </c>
      <c r="I3" s="9" t="s">
        <v>150</v>
      </c>
      <c r="J3" s="43" t="s">
        <v>151</v>
      </c>
      <c r="K3" s="10" t="s">
        <v>211</v>
      </c>
      <c r="L3" s="41" t="s">
        <v>152</v>
      </c>
      <c r="M3" s="8" t="s">
        <v>0</v>
      </c>
      <c r="N3" s="30" t="s">
        <v>1</v>
      </c>
      <c r="O3" s="22"/>
      <c r="P3" s="131" t="s">
        <v>203</v>
      </c>
    </row>
    <row r="4" spans="1:16" s="3" customFormat="1" ht="13.5">
      <c r="A4" s="1" t="s">
        <v>98</v>
      </c>
      <c r="B4" s="53">
        <v>16.166666</v>
      </c>
      <c r="C4" s="5">
        <v>7</v>
      </c>
      <c r="D4" s="5"/>
      <c r="E4" s="25">
        <v>1000</v>
      </c>
      <c r="F4" s="3">
        <f aca="true" t="shared" si="0" ref="F4:F66">E4^(-0.5)</f>
        <v>0.03162277660168379</v>
      </c>
      <c r="G4" s="39">
        <f aca="true" t="shared" si="1" ref="G4:G67">B4^G$2</f>
        <v>261.36108955555596</v>
      </c>
      <c r="H4" s="37">
        <v>36.6</v>
      </c>
      <c r="I4" s="14"/>
      <c r="J4" s="46">
        <v>5</v>
      </c>
      <c r="K4" s="6">
        <f aca="true" t="shared" si="2" ref="K4:K35">H4/J4</f>
        <v>7.32</v>
      </c>
      <c r="L4" s="40">
        <f>1/K4</f>
        <v>0.13661202185792348</v>
      </c>
      <c r="M4" s="1" t="s">
        <v>99</v>
      </c>
      <c r="N4" s="29" t="s">
        <v>114</v>
      </c>
      <c r="O4" s="23" t="s">
        <v>105</v>
      </c>
      <c r="P4" s="130">
        <f>-14.28953391+0.016652218*G4+0.659263214*H4</f>
        <v>14.19174156239664</v>
      </c>
    </row>
    <row r="5" spans="1:16" s="3" customFormat="1" ht="13.5">
      <c r="A5" s="1" t="s">
        <v>102</v>
      </c>
      <c r="B5" s="53">
        <v>16.5</v>
      </c>
      <c r="C5" s="5">
        <v>6.66666</v>
      </c>
      <c r="D5" s="5"/>
      <c r="E5" s="25">
        <v>2000</v>
      </c>
      <c r="F5" s="3">
        <f t="shared" si="0"/>
        <v>0.022360679774997897</v>
      </c>
      <c r="G5" s="39">
        <f t="shared" si="1"/>
        <v>272.25</v>
      </c>
      <c r="H5" s="36">
        <v>3</v>
      </c>
      <c r="I5" s="14"/>
      <c r="J5" s="45">
        <v>0.4</v>
      </c>
      <c r="K5" s="6">
        <f t="shared" si="2"/>
        <v>7.5</v>
      </c>
      <c r="L5" s="40">
        <f aca="true" t="shared" si="3" ref="L5:L68">1/K5</f>
        <v>0.13333333333333333</v>
      </c>
      <c r="M5" s="1" t="s">
        <v>103</v>
      </c>
      <c r="N5" s="29" t="s">
        <v>114</v>
      </c>
      <c r="O5" s="23" t="s">
        <v>104</v>
      </c>
      <c r="P5" s="130">
        <f aca="true" t="shared" si="4" ref="P5:P68">-14.28953391+0.016652218*G5+0.659263214*H5</f>
        <v>-7.778177917500001</v>
      </c>
    </row>
    <row r="6" spans="1:16" s="3" customFormat="1" ht="13.5">
      <c r="A6" s="1" t="s">
        <v>102</v>
      </c>
      <c r="B6" s="53">
        <v>16.5</v>
      </c>
      <c r="C6" s="5">
        <v>6.66666</v>
      </c>
      <c r="D6" s="5"/>
      <c r="E6" s="25">
        <v>2000</v>
      </c>
      <c r="F6" s="3">
        <f t="shared" si="0"/>
        <v>0.022360679774997897</v>
      </c>
      <c r="G6" s="39">
        <f t="shared" si="1"/>
        <v>272.25</v>
      </c>
      <c r="H6" s="36">
        <v>4.4</v>
      </c>
      <c r="I6" s="14"/>
      <c r="J6" s="45">
        <v>0.9</v>
      </c>
      <c r="K6" s="6">
        <f t="shared" si="2"/>
        <v>4.888888888888889</v>
      </c>
      <c r="L6" s="40">
        <f t="shared" si="3"/>
        <v>0.20454545454545453</v>
      </c>
      <c r="M6" s="1" t="s">
        <v>103</v>
      </c>
      <c r="N6" s="29" t="s">
        <v>114</v>
      </c>
      <c r="O6" s="23" t="s">
        <v>104</v>
      </c>
      <c r="P6" s="130">
        <f t="shared" si="4"/>
        <v>-6.855209417899999</v>
      </c>
    </row>
    <row r="7" spans="1:16" s="3" customFormat="1" ht="13.5">
      <c r="A7" s="1" t="s">
        <v>102</v>
      </c>
      <c r="B7" s="53">
        <v>16.5</v>
      </c>
      <c r="C7" s="5">
        <v>6.66666</v>
      </c>
      <c r="D7" s="5"/>
      <c r="E7" s="25">
        <v>2000</v>
      </c>
      <c r="F7" s="3">
        <f t="shared" si="0"/>
        <v>0.022360679774997897</v>
      </c>
      <c r="G7" s="39">
        <f t="shared" si="1"/>
        <v>272.25</v>
      </c>
      <c r="H7" s="36">
        <v>5.7</v>
      </c>
      <c r="I7" s="14"/>
      <c r="J7" s="45">
        <v>1.6</v>
      </c>
      <c r="K7" s="6">
        <f t="shared" si="2"/>
        <v>3.5625</v>
      </c>
      <c r="L7" s="40">
        <f t="shared" si="3"/>
        <v>0.2807017543859649</v>
      </c>
      <c r="M7" s="1" t="s">
        <v>103</v>
      </c>
      <c r="N7" s="29" t="s">
        <v>114</v>
      </c>
      <c r="O7" s="23" t="s">
        <v>104</v>
      </c>
      <c r="P7" s="130">
        <f t="shared" si="4"/>
        <v>-5.998167239700001</v>
      </c>
    </row>
    <row r="8" spans="1:16" s="3" customFormat="1" ht="13.5">
      <c r="A8" s="1" t="s">
        <v>102</v>
      </c>
      <c r="B8" s="53">
        <v>16.5</v>
      </c>
      <c r="C8" s="5">
        <v>6.66666</v>
      </c>
      <c r="D8" s="5"/>
      <c r="E8" s="25">
        <v>2000</v>
      </c>
      <c r="F8" s="3">
        <f t="shared" si="0"/>
        <v>0.022360679774997897</v>
      </c>
      <c r="G8" s="39">
        <f t="shared" si="1"/>
        <v>272.25</v>
      </c>
      <c r="H8" s="36">
        <v>6.7</v>
      </c>
      <c r="I8" s="14"/>
      <c r="J8" s="45">
        <v>1.8</v>
      </c>
      <c r="K8" s="6">
        <f t="shared" si="2"/>
        <v>3.7222222222222223</v>
      </c>
      <c r="L8" s="40">
        <f t="shared" si="3"/>
        <v>0.26865671641791045</v>
      </c>
      <c r="M8" s="1" t="s">
        <v>103</v>
      </c>
      <c r="N8" s="29" t="s">
        <v>114</v>
      </c>
      <c r="O8" s="23" t="s">
        <v>104</v>
      </c>
      <c r="P8" s="130">
        <f t="shared" si="4"/>
        <v>-5.3389040257</v>
      </c>
    </row>
    <row r="9" spans="1:16" s="3" customFormat="1" ht="13.5">
      <c r="A9" s="1" t="s">
        <v>102</v>
      </c>
      <c r="B9" s="53">
        <v>16.5</v>
      </c>
      <c r="C9" s="5">
        <v>6.66666</v>
      </c>
      <c r="D9" s="5"/>
      <c r="E9" s="25">
        <v>2000</v>
      </c>
      <c r="F9" s="3">
        <f t="shared" si="0"/>
        <v>0.022360679774997897</v>
      </c>
      <c r="G9" s="39">
        <f t="shared" si="1"/>
        <v>272.25</v>
      </c>
      <c r="H9" s="36">
        <v>19.4</v>
      </c>
      <c r="I9" s="14"/>
      <c r="J9" s="28">
        <v>2.6</v>
      </c>
      <c r="K9" s="6">
        <f t="shared" si="2"/>
        <v>7.461538461538461</v>
      </c>
      <c r="L9" s="40">
        <f t="shared" si="3"/>
        <v>0.13402061855670105</v>
      </c>
      <c r="M9" s="1" t="s">
        <v>103</v>
      </c>
      <c r="N9" s="29" t="s">
        <v>114</v>
      </c>
      <c r="O9" s="23" t="s">
        <v>104</v>
      </c>
      <c r="P9" s="130">
        <f t="shared" si="4"/>
        <v>3.0337387920999994</v>
      </c>
    </row>
    <row r="10" spans="1:16" s="3" customFormat="1" ht="13.5">
      <c r="A10" s="1" t="s">
        <v>102</v>
      </c>
      <c r="B10" s="53">
        <v>16.5</v>
      </c>
      <c r="C10" s="5">
        <v>6.66666</v>
      </c>
      <c r="D10" s="5"/>
      <c r="E10" s="25">
        <v>2000</v>
      </c>
      <c r="F10" s="3">
        <f t="shared" si="0"/>
        <v>0.022360679774997897</v>
      </c>
      <c r="G10" s="39">
        <f t="shared" si="1"/>
        <v>272.25</v>
      </c>
      <c r="H10" s="36">
        <v>28.2</v>
      </c>
      <c r="I10" s="14"/>
      <c r="J10" s="28">
        <v>4</v>
      </c>
      <c r="K10" s="6">
        <f t="shared" si="2"/>
        <v>7.05</v>
      </c>
      <c r="L10" s="40">
        <f t="shared" si="3"/>
        <v>0.14184397163120568</v>
      </c>
      <c r="M10" s="1" t="s">
        <v>103</v>
      </c>
      <c r="N10" s="29" t="s">
        <v>114</v>
      </c>
      <c r="O10" s="23" t="s">
        <v>104</v>
      </c>
      <c r="P10" s="130">
        <f t="shared" si="4"/>
        <v>8.835255075299997</v>
      </c>
    </row>
    <row r="11" spans="1:16" s="3" customFormat="1" ht="13.5">
      <c r="A11" s="1" t="s">
        <v>102</v>
      </c>
      <c r="B11" s="53">
        <v>16.5</v>
      </c>
      <c r="C11" s="5">
        <v>6.66666</v>
      </c>
      <c r="D11" s="5"/>
      <c r="E11" s="25">
        <v>2000</v>
      </c>
      <c r="F11" s="3">
        <f t="shared" si="0"/>
        <v>0.022360679774997897</v>
      </c>
      <c r="G11" s="39">
        <f t="shared" si="1"/>
        <v>272.25</v>
      </c>
      <c r="H11" s="36">
        <v>34.2</v>
      </c>
      <c r="I11" s="14"/>
      <c r="J11" s="28">
        <v>5.9</v>
      </c>
      <c r="K11" s="6">
        <f t="shared" si="2"/>
        <v>5.796610169491526</v>
      </c>
      <c r="L11" s="40">
        <f t="shared" si="3"/>
        <v>0.17251461988304093</v>
      </c>
      <c r="M11" s="1" t="s">
        <v>103</v>
      </c>
      <c r="N11" s="29" t="s">
        <v>114</v>
      </c>
      <c r="O11" s="23" t="s">
        <v>104</v>
      </c>
      <c r="P11" s="130">
        <f t="shared" si="4"/>
        <v>12.7908343593</v>
      </c>
    </row>
    <row r="12" spans="1:16" s="3" customFormat="1" ht="13.5">
      <c r="A12" s="1" t="s">
        <v>102</v>
      </c>
      <c r="B12" s="53">
        <v>16.5</v>
      </c>
      <c r="C12" s="5">
        <v>6.66666</v>
      </c>
      <c r="D12" s="5"/>
      <c r="E12" s="25">
        <v>2000</v>
      </c>
      <c r="F12" s="3">
        <f t="shared" si="0"/>
        <v>0.022360679774997897</v>
      </c>
      <c r="G12" s="39">
        <f t="shared" si="1"/>
        <v>272.25</v>
      </c>
      <c r="H12" s="36">
        <v>42.1</v>
      </c>
      <c r="I12" s="14"/>
      <c r="J12" s="28">
        <v>8.6</v>
      </c>
      <c r="K12" s="6">
        <f t="shared" si="2"/>
        <v>4.895348837209303</v>
      </c>
      <c r="L12" s="40">
        <f t="shared" si="3"/>
        <v>0.20427553444180518</v>
      </c>
      <c r="M12" s="1" t="s">
        <v>103</v>
      </c>
      <c r="N12" s="29" t="s">
        <v>114</v>
      </c>
      <c r="O12" s="23" t="s">
        <v>104</v>
      </c>
      <c r="P12" s="130">
        <f t="shared" si="4"/>
        <v>17.9990137499</v>
      </c>
    </row>
    <row r="13" spans="1:16" s="3" customFormat="1" ht="13.5">
      <c r="A13" s="1" t="s">
        <v>102</v>
      </c>
      <c r="B13" s="53">
        <v>16.5</v>
      </c>
      <c r="C13" s="5">
        <v>6.66666</v>
      </c>
      <c r="D13" s="5"/>
      <c r="E13" s="25">
        <v>2000</v>
      </c>
      <c r="F13" s="3">
        <f t="shared" si="0"/>
        <v>0.022360679774997897</v>
      </c>
      <c r="G13" s="39">
        <f t="shared" si="1"/>
        <v>272.25</v>
      </c>
      <c r="H13" s="36">
        <v>47.8</v>
      </c>
      <c r="I13" s="14"/>
      <c r="J13" s="28">
        <v>12.7</v>
      </c>
      <c r="K13" s="6">
        <f t="shared" si="2"/>
        <v>3.763779527559055</v>
      </c>
      <c r="L13" s="40">
        <f t="shared" si="3"/>
        <v>0.26569037656903766</v>
      </c>
      <c r="M13" s="1" t="s">
        <v>103</v>
      </c>
      <c r="N13" s="29" t="s">
        <v>114</v>
      </c>
      <c r="O13" s="23" t="s">
        <v>104</v>
      </c>
      <c r="P13" s="130">
        <f t="shared" si="4"/>
        <v>21.7568140697</v>
      </c>
    </row>
    <row r="14" spans="1:16" s="3" customFormat="1" ht="13.5">
      <c r="A14" s="1" t="s">
        <v>102</v>
      </c>
      <c r="B14" s="53">
        <v>16.5</v>
      </c>
      <c r="C14" s="5">
        <v>6.66666</v>
      </c>
      <c r="D14" s="5"/>
      <c r="E14" s="25">
        <v>2000</v>
      </c>
      <c r="F14" s="3">
        <f t="shared" si="0"/>
        <v>0.022360679774997897</v>
      </c>
      <c r="G14" s="39">
        <f t="shared" si="1"/>
        <v>272.25</v>
      </c>
      <c r="H14" s="36">
        <v>53.9</v>
      </c>
      <c r="I14" s="14"/>
      <c r="J14" s="28">
        <v>18</v>
      </c>
      <c r="K14" s="6">
        <f t="shared" si="2"/>
        <v>2.9944444444444445</v>
      </c>
      <c r="L14" s="40">
        <f t="shared" si="3"/>
        <v>0.3339517625231911</v>
      </c>
      <c r="M14" s="1" t="s">
        <v>103</v>
      </c>
      <c r="N14" s="29" t="s">
        <v>114</v>
      </c>
      <c r="O14" s="23" t="s">
        <v>104</v>
      </c>
      <c r="P14" s="130">
        <f t="shared" si="4"/>
        <v>25.7783196751</v>
      </c>
    </row>
    <row r="15" spans="1:16" s="3" customFormat="1" ht="13.5">
      <c r="A15" s="3" t="s">
        <v>165</v>
      </c>
      <c r="B15" s="53">
        <v>18.5</v>
      </c>
      <c r="C15" s="5">
        <v>8</v>
      </c>
      <c r="D15" s="5"/>
      <c r="E15" s="25">
        <v>3469</v>
      </c>
      <c r="F15" s="3">
        <f t="shared" si="0"/>
        <v>0.016978442574375578</v>
      </c>
      <c r="G15" s="39">
        <f t="shared" si="1"/>
        <v>342.25</v>
      </c>
      <c r="H15" s="38">
        <v>3.4</v>
      </c>
      <c r="I15" s="7">
        <v>3</v>
      </c>
      <c r="J15" s="44">
        <v>0.3</v>
      </c>
      <c r="K15" s="6">
        <f t="shared" si="2"/>
        <v>11.333333333333334</v>
      </c>
      <c r="L15" s="40">
        <f t="shared" si="3"/>
        <v>0.08823529411764705</v>
      </c>
      <c r="M15" s="4" t="s">
        <v>166</v>
      </c>
      <c r="N15" s="32" t="s">
        <v>167</v>
      </c>
      <c r="O15" s="21" t="s">
        <v>181</v>
      </c>
      <c r="P15" s="130">
        <f t="shared" si="4"/>
        <v>-6.348817371899999</v>
      </c>
    </row>
    <row r="16" spans="1:16" s="3" customFormat="1" ht="13.5">
      <c r="A16" s="3" t="s">
        <v>165</v>
      </c>
      <c r="B16" s="53">
        <v>18.5</v>
      </c>
      <c r="C16" s="5">
        <v>8</v>
      </c>
      <c r="D16" s="5"/>
      <c r="E16" s="25">
        <v>3469</v>
      </c>
      <c r="F16" s="3">
        <f t="shared" si="0"/>
        <v>0.016978442574375578</v>
      </c>
      <c r="G16" s="39">
        <f t="shared" si="1"/>
        <v>342.25</v>
      </c>
      <c r="H16" s="38">
        <v>4.5</v>
      </c>
      <c r="I16" s="7">
        <v>3.9</v>
      </c>
      <c r="J16" s="44">
        <v>0.6</v>
      </c>
      <c r="K16" s="6">
        <f t="shared" si="2"/>
        <v>7.5</v>
      </c>
      <c r="L16" s="40">
        <f t="shared" si="3"/>
        <v>0.13333333333333333</v>
      </c>
      <c r="M16" s="4" t="s">
        <v>166</v>
      </c>
      <c r="N16" s="32" t="s">
        <v>167</v>
      </c>
      <c r="O16" s="21" t="s">
        <v>181</v>
      </c>
      <c r="P16" s="130">
        <f t="shared" si="4"/>
        <v>-5.623627836499999</v>
      </c>
    </row>
    <row r="17" spans="1:16" s="3" customFormat="1" ht="13.5">
      <c r="A17" s="3" t="s">
        <v>165</v>
      </c>
      <c r="B17" s="53">
        <v>18.5</v>
      </c>
      <c r="C17" s="5">
        <v>8</v>
      </c>
      <c r="D17" s="5"/>
      <c r="E17" s="25">
        <v>3469</v>
      </c>
      <c r="F17" s="3">
        <f t="shared" si="0"/>
        <v>0.016978442574375578</v>
      </c>
      <c r="G17" s="39">
        <f t="shared" si="1"/>
        <v>342.25</v>
      </c>
      <c r="H17" s="38">
        <v>6.4</v>
      </c>
      <c r="I17" s="7">
        <v>5.6</v>
      </c>
      <c r="J17" s="44">
        <v>1.1</v>
      </c>
      <c r="K17" s="6">
        <f t="shared" si="2"/>
        <v>5.818181818181818</v>
      </c>
      <c r="L17" s="40">
        <f t="shared" si="3"/>
        <v>0.171875</v>
      </c>
      <c r="M17" s="4" t="s">
        <v>166</v>
      </c>
      <c r="N17" s="32" t="s">
        <v>167</v>
      </c>
      <c r="O17" s="21" t="s">
        <v>181</v>
      </c>
      <c r="P17" s="130">
        <f t="shared" si="4"/>
        <v>-4.371027729899999</v>
      </c>
    </row>
    <row r="18" spans="1:16" s="3" customFormat="1" ht="13.5">
      <c r="A18" s="3" t="s">
        <v>165</v>
      </c>
      <c r="B18" s="53">
        <v>18.5</v>
      </c>
      <c r="C18" s="5">
        <v>8</v>
      </c>
      <c r="D18" s="5"/>
      <c r="E18" s="25">
        <v>3469</v>
      </c>
      <c r="F18" s="3">
        <f t="shared" si="0"/>
        <v>0.016978442574375578</v>
      </c>
      <c r="G18" s="39">
        <f t="shared" si="1"/>
        <v>342.25</v>
      </c>
      <c r="H18" s="38">
        <v>7.7</v>
      </c>
      <c r="I18" s="7">
        <v>6.7</v>
      </c>
      <c r="J18" s="44">
        <v>1.9</v>
      </c>
      <c r="K18" s="6">
        <f t="shared" si="2"/>
        <v>4.052631578947369</v>
      </c>
      <c r="L18" s="40">
        <f t="shared" si="3"/>
        <v>0.24675324675324672</v>
      </c>
      <c r="M18" s="4" t="s">
        <v>166</v>
      </c>
      <c r="N18" s="32" t="s">
        <v>167</v>
      </c>
      <c r="O18" s="21" t="s">
        <v>181</v>
      </c>
      <c r="P18" s="130">
        <f t="shared" si="4"/>
        <v>-3.5139855516999994</v>
      </c>
    </row>
    <row r="19" spans="1:16" s="3" customFormat="1" ht="13.5">
      <c r="A19" s="3" t="s">
        <v>165</v>
      </c>
      <c r="B19" s="53">
        <v>18.5</v>
      </c>
      <c r="C19" s="5">
        <v>8</v>
      </c>
      <c r="D19" s="5"/>
      <c r="E19" s="25">
        <v>3469</v>
      </c>
      <c r="F19" s="3">
        <f t="shared" si="0"/>
        <v>0.016978442574375578</v>
      </c>
      <c r="G19" s="39">
        <f t="shared" si="1"/>
        <v>342.25</v>
      </c>
      <c r="H19" s="38">
        <v>9.7</v>
      </c>
      <c r="I19" s="7">
        <v>8.4</v>
      </c>
      <c r="J19" s="46">
        <v>3.2</v>
      </c>
      <c r="K19" s="6">
        <f t="shared" si="2"/>
        <v>3.0312499999999996</v>
      </c>
      <c r="L19" s="40">
        <f t="shared" si="3"/>
        <v>0.3298969072164949</v>
      </c>
      <c r="M19" s="4" t="s">
        <v>166</v>
      </c>
      <c r="N19" s="32" t="s">
        <v>167</v>
      </c>
      <c r="O19" s="21" t="s">
        <v>181</v>
      </c>
      <c r="P19" s="130">
        <f t="shared" si="4"/>
        <v>-2.195459123699999</v>
      </c>
    </row>
    <row r="20" spans="1:16" s="3" customFormat="1" ht="13.5">
      <c r="A20" s="3" t="s">
        <v>165</v>
      </c>
      <c r="B20" s="53">
        <v>18.5</v>
      </c>
      <c r="C20" s="5">
        <v>8</v>
      </c>
      <c r="D20" s="5"/>
      <c r="E20" s="25">
        <v>3469</v>
      </c>
      <c r="F20" s="3">
        <f t="shared" si="0"/>
        <v>0.016978442574375578</v>
      </c>
      <c r="G20" s="39">
        <f t="shared" si="1"/>
        <v>342.25</v>
      </c>
      <c r="H20" s="38">
        <v>14.7</v>
      </c>
      <c r="I20" s="7">
        <v>12.8</v>
      </c>
      <c r="J20" s="46">
        <v>3.5</v>
      </c>
      <c r="K20" s="6">
        <f t="shared" si="2"/>
        <v>4.2</v>
      </c>
      <c r="L20" s="40">
        <f t="shared" si="3"/>
        <v>0.23809523809523808</v>
      </c>
      <c r="M20" s="4" t="s">
        <v>166</v>
      </c>
      <c r="N20" s="32" t="s">
        <v>167</v>
      </c>
      <c r="O20" s="21" t="s">
        <v>181</v>
      </c>
      <c r="P20" s="130">
        <f t="shared" si="4"/>
        <v>1.1008569463000004</v>
      </c>
    </row>
    <row r="21" spans="1:16" s="3" customFormat="1" ht="13.5">
      <c r="A21" s="3" t="s">
        <v>165</v>
      </c>
      <c r="B21" s="53">
        <v>18.5</v>
      </c>
      <c r="C21" s="5">
        <v>8</v>
      </c>
      <c r="D21" s="5"/>
      <c r="E21" s="25">
        <v>3469</v>
      </c>
      <c r="F21" s="3">
        <f t="shared" si="0"/>
        <v>0.016978442574375578</v>
      </c>
      <c r="G21" s="39">
        <f t="shared" si="1"/>
        <v>342.25</v>
      </c>
      <c r="H21" s="38">
        <v>20.2</v>
      </c>
      <c r="I21" s="7">
        <v>17.5</v>
      </c>
      <c r="J21" s="46">
        <v>3.8</v>
      </c>
      <c r="K21" s="6">
        <f t="shared" si="2"/>
        <v>5.315789473684211</v>
      </c>
      <c r="L21" s="40">
        <f t="shared" si="3"/>
        <v>0.18811881188118812</v>
      </c>
      <c r="M21" s="4" t="s">
        <v>166</v>
      </c>
      <c r="N21" s="32" t="s">
        <v>167</v>
      </c>
      <c r="O21" s="21" t="s">
        <v>181</v>
      </c>
      <c r="P21" s="130">
        <f t="shared" si="4"/>
        <v>4.7268046233</v>
      </c>
    </row>
    <row r="22" spans="1:16" s="3" customFormat="1" ht="13.5">
      <c r="A22" s="3" t="s">
        <v>165</v>
      </c>
      <c r="B22" s="53">
        <v>18.5</v>
      </c>
      <c r="C22" s="5">
        <v>8</v>
      </c>
      <c r="D22" s="5"/>
      <c r="E22" s="25">
        <v>3469</v>
      </c>
      <c r="F22" s="3">
        <f t="shared" si="0"/>
        <v>0.016978442574375578</v>
      </c>
      <c r="G22" s="39">
        <f t="shared" si="1"/>
        <v>342.25</v>
      </c>
      <c r="H22" s="38">
        <v>23.8</v>
      </c>
      <c r="I22" s="7">
        <v>20.7</v>
      </c>
      <c r="J22" s="46">
        <v>4.4</v>
      </c>
      <c r="K22" s="6">
        <f t="shared" si="2"/>
        <v>5.409090909090909</v>
      </c>
      <c r="L22" s="40">
        <f t="shared" si="3"/>
        <v>0.18487394957983194</v>
      </c>
      <c r="M22" s="4" t="s">
        <v>166</v>
      </c>
      <c r="N22" s="32" t="s">
        <v>167</v>
      </c>
      <c r="O22" s="21" t="s">
        <v>181</v>
      </c>
      <c r="P22" s="130">
        <f t="shared" si="4"/>
        <v>7.100152193700001</v>
      </c>
    </row>
    <row r="23" spans="1:16" s="3" customFormat="1" ht="13.5">
      <c r="A23" s="3" t="s">
        <v>165</v>
      </c>
      <c r="B23" s="53">
        <v>18.5</v>
      </c>
      <c r="C23" s="5">
        <v>8</v>
      </c>
      <c r="D23" s="5"/>
      <c r="E23" s="25">
        <v>3469</v>
      </c>
      <c r="F23" s="3">
        <f t="shared" si="0"/>
        <v>0.016978442574375578</v>
      </c>
      <c r="G23" s="39">
        <f t="shared" si="1"/>
        <v>342.25</v>
      </c>
      <c r="H23" s="38">
        <v>26.2</v>
      </c>
      <c r="I23" s="7">
        <v>22.8</v>
      </c>
      <c r="J23" s="46">
        <v>4.9</v>
      </c>
      <c r="K23" s="6">
        <f t="shared" si="2"/>
        <v>5.346938775510203</v>
      </c>
      <c r="L23" s="40">
        <f t="shared" si="3"/>
        <v>0.1870229007633588</v>
      </c>
      <c r="M23" s="4" t="s">
        <v>166</v>
      </c>
      <c r="N23" s="32" t="s">
        <v>167</v>
      </c>
      <c r="O23" s="21" t="s">
        <v>181</v>
      </c>
      <c r="P23" s="130">
        <f t="shared" si="4"/>
        <v>8.6823839073</v>
      </c>
    </row>
    <row r="24" spans="1:16" s="3" customFormat="1" ht="13.5">
      <c r="A24" s="3" t="s">
        <v>165</v>
      </c>
      <c r="B24" s="53">
        <v>18.5</v>
      </c>
      <c r="C24" s="5">
        <v>8</v>
      </c>
      <c r="D24" s="5"/>
      <c r="E24" s="25">
        <v>3469</v>
      </c>
      <c r="F24" s="3">
        <f t="shared" si="0"/>
        <v>0.016978442574375578</v>
      </c>
      <c r="G24" s="39">
        <f t="shared" si="1"/>
        <v>342.25</v>
      </c>
      <c r="H24" s="38">
        <v>30.3</v>
      </c>
      <c r="I24" s="7">
        <v>26.3</v>
      </c>
      <c r="J24" s="46">
        <v>6.3</v>
      </c>
      <c r="K24" s="6">
        <f t="shared" si="2"/>
        <v>4.80952380952381</v>
      </c>
      <c r="L24" s="40">
        <f t="shared" si="3"/>
        <v>0.20792079207920788</v>
      </c>
      <c r="M24" s="4" t="s">
        <v>166</v>
      </c>
      <c r="N24" s="32" t="s">
        <v>167</v>
      </c>
      <c r="O24" s="21" t="s">
        <v>181</v>
      </c>
      <c r="P24" s="130">
        <f t="shared" si="4"/>
        <v>11.3853630847</v>
      </c>
    </row>
    <row r="25" spans="1:16" s="3" customFormat="1" ht="13.5">
      <c r="A25" s="3" t="s">
        <v>165</v>
      </c>
      <c r="B25" s="53">
        <v>18.5</v>
      </c>
      <c r="C25" s="5">
        <v>8</v>
      </c>
      <c r="D25" s="5"/>
      <c r="E25" s="25">
        <v>3469</v>
      </c>
      <c r="F25" s="3">
        <f t="shared" si="0"/>
        <v>0.016978442574375578</v>
      </c>
      <c r="G25" s="39">
        <f t="shared" si="1"/>
        <v>342.25</v>
      </c>
      <c r="H25" s="38">
        <v>33.9</v>
      </c>
      <c r="I25" s="7">
        <v>29.4</v>
      </c>
      <c r="J25" s="46">
        <v>9.8</v>
      </c>
      <c r="K25" s="6">
        <f t="shared" si="2"/>
        <v>3.4591836734693873</v>
      </c>
      <c r="L25" s="40">
        <f t="shared" si="3"/>
        <v>0.2890855457227139</v>
      </c>
      <c r="M25" s="4" t="s">
        <v>166</v>
      </c>
      <c r="N25" s="32" t="s">
        <v>167</v>
      </c>
      <c r="O25" s="21" t="s">
        <v>181</v>
      </c>
      <c r="P25" s="130">
        <f t="shared" si="4"/>
        <v>13.7587106551</v>
      </c>
    </row>
    <row r="26" spans="1:16" s="3" customFormat="1" ht="13.5">
      <c r="A26" s="3" t="s">
        <v>165</v>
      </c>
      <c r="B26" s="53">
        <v>18.5</v>
      </c>
      <c r="C26" s="5">
        <v>8</v>
      </c>
      <c r="D26" s="5"/>
      <c r="E26" s="25">
        <v>3469</v>
      </c>
      <c r="F26" s="3">
        <f t="shared" si="0"/>
        <v>0.016978442574375578</v>
      </c>
      <c r="G26" s="39">
        <f t="shared" si="1"/>
        <v>342.25</v>
      </c>
      <c r="H26" s="38">
        <v>37</v>
      </c>
      <c r="I26" s="7">
        <v>32.1</v>
      </c>
      <c r="J26" s="46">
        <v>12.4</v>
      </c>
      <c r="K26" s="6">
        <f t="shared" si="2"/>
        <v>2.9838709677419355</v>
      </c>
      <c r="L26" s="40">
        <f t="shared" si="3"/>
        <v>0.33513513513513515</v>
      </c>
      <c r="M26" s="4" t="s">
        <v>166</v>
      </c>
      <c r="N26" s="32" t="s">
        <v>167</v>
      </c>
      <c r="O26" s="21" t="s">
        <v>181</v>
      </c>
      <c r="P26" s="130">
        <f t="shared" si="4"/>
        <v>15.8024266185</v>
      </c>
    </row>
    <row r="27" spans="1:16" s="3" customFormat="1" ht="13.5">
      <c r="A27" s="3" t="s">
        <v>165</v>
      </c>
      <c r="B27" s="53">
        <v>18.5</v>
      </c>
      <c r="C27" s="5">
        <v>8</v>
      </c>
      <c r="D27" s="5"/>
      <c r="E27" s="25">
        <v>3469</v>
      </c>
      <c r="F27" s="3">
        <f t="shared" si="0"/>
        <v>0.016978442574375578</v>
      </c>
      <c r="G27" s="39">
        <f t="shared" si="1"/>
        <v>342.25</v>
      </c>
      <c r="H27" s="38">
        <v>42.2</v>
      </c>
      <c r="I27" s="7">
        <v>36.6</v>
      </c>
      <c r="J27" s="46">
        <v>13.5</v>
      </c>
      <c r="K27" s="6">
        <f t="shared" si="2"/>
        <v>3.125925925925926</v>
      </c>
      <c r="L27" s="40">
        <f t="shared" si="3"/>
        <v>0.31990521327014215</v>
      </c>
      <c r="M27" s="4" t="s">
        <v>166</v>
      </c>
      <c r="N27" s="32" t="s">
        <v>167</v>
      </c>
      <c r="O27" s="21" t="s">
        <v>181</v>
      </c>
      <c r="P27" s="130">
        <f t="shared" si="4"/>
        <v>19.2305953313</v>
      </c>
    </row>
    <row r="28" spans="1:16" s="3" customFormat="1" ht="13.5">
      <c r="A28" s="3" t="s">
        <v>165</v>
      </c>
      <c r="B28" s="53">
        <v>18.5</v>
      </c>
      <c r="C28" s="5">
        <v>8</v>
      </c>
      <c r="D28" s="5"/>
      <c r="E28" s="25">
        <v>3469</v>
      </c>
      <c r="F28" s="3">
        <f t="shared" si="0"/>
        <v>0.016978442574375578</v>
      </c>
      <c r="G28" s="39">
        <f t="shared" si="1"/>
        <v>342.25</v>
      </c>
      <c r="H28" s="38">
        <v>42.2</v>
      </c>
      <c r="I28" s="7">
        <v>36.6</v>
      </c>
      <c r="J28" s="46">
        <v>13.5</v>
      </c>
      <c r="K28" s="6">
        <f t="shared" si="2"/>
        <v>3.125925925925926</v>
      </c>
      <c r="L28" s="40">
        <f t="shared" si="3"/>
        <v>0.31990521327014215</v>
      </c>
      <c r="M28" s="4" t="s">
        <v>166</v>
      </c>
      <c r="N28" s="32" t="s">
        <v>167</v>
      </c>
      <c r="O28" s="21" t="s">
        <v>181</v>
      </c>
      <c r="P28" s="130">
        <f t="shared" si="4"/>
        <v>19.2305953313</v>
      </c>
    </row>
    <row r="29" spans="1:16" s="3" customFormat="1" ht="13.5">
      <c r="A29" s="3" t="s">
        <v>171</v>
      </c>
      <c r="B29" s="53">
        <f>18+10/12</f>
        <v>18.833333333333332</v>
      </c>
      <c r="C29" s="5">
        <v>8</v>
      </c>
      <c r="D29" s="5"/>
      <c r="E29" s="25">
        <v>3229</v>
      </c>
      <c r="F29" s="3">
        <f t="shared" si="0"/>
        <v>0.01759810795314385</v>
      </c>
      <c r="G29" s="39">
        <f t="shared" si="1"/>
        <v>354.6944444444444</v>
      </c>
      <c r="H29" s="38">
        <v>2.3</v>
      </c>
      <c r="I29" s="7">
        <v>2</v>
      </c>
      <c r="J29" s="44">
        <v>0.3</v>
      </c>
      <c r="K29" s="6">
        <f t="shared" si="2"/>
        <v>7.666666666666666</v>
      </c>
      <c r="L29" s="40">
        <f t="shared" si="3"/>
        <v>0.13043478260869565</v>
      </c>
      <c r="M29" s="4" t="s">
        <v>166</v>
      </c>
      <c r="N29" s="32" t="s">
        <v>172</v>
      </c>
      <c r="O29" s="21" t="s">
        <v>181</v>
      </c>
      <c r="P29" s="130">
        <f t="shared" si="4"/>
        <v>-6.866779305522222</v>
      </c>
    </row>
    <row r="30" spans="1:16" s="3" customFormat="1" ht="13.5">
      <c r="A30" s="3" t="s">
        <v>171</v>
      </c>
      <c r="B30" s="53">
        <f aca="true" t="shared" si="5" ref="B30:B42">18+10/12</f>
        <v>18.833333333333332</v>
      </c>
      <c r="C30" s="5">
        <v>8</v>
      </c>
      <c r="D30" s="5"/>
      <c r="E30" s="25">
        <v>3229</v>
      </c>
      <c r="F30" s="3">
        <f t="shared" si="0"/>
        <v>0.01759810795314385</v>
      </c>
      <c r="G30" s="39">
        <f t="shared" si="1"/>
        <v>354.6944444444444</v>
      </c>
      <c r="H30" s="38">
        <v>4.5</v>
      </c>
      <c r="I30" s="7">
        <v>3.9</v>
      </c>
      <c r="J30" s="44">
        <v>0.6</v>
      </c>
      <c r="K30" s="6">
        <f t="shared" si="2"/>
        <v>7.5</v>
      </c>
      <c r="L30" s="40">
        <f t="shared" si="3"/>
        <v>0.13333333333333333</v>
      </c>
      <c r="M30" s="4" t="s">
        <v>166</v>
      </c>
      <c r="N30" s="32" t="s">
        <v>172</v>
      </c>
      <c r="O30" s="21" t="s">
        <v>181</v>
      </c>
      <c r="P30" s="130">
        <f t="shared" si="4"/>
        <v>-5.4164002347222215</v>
      </c>
    </row>
    <row r="31" spans="1:16" s="3" customFormat="1" ht="13.5">
      <c r="A31" s="3" t="s">
        <v>171</v>
      </c>
      <c r="B31" s="53">
        <f t="shared" si="5"/>
        <v>18.833333333333332</v>
      </c>
      <c r="C31" s="5">
        <v>8</v>
      </c>
      <c r="D31" s="5"/>
      <c r="E31" s="25">
        <v>3229</v>
      </c>
      <c r="F31" s="3">
        <f t="shared" si="0"/>
        <v>0.01759810795314385</v>
      </c>
      <c r="G31" s="39">
        <f t="shared" si="1"/>
        <v>354.6944444444444</v>
      </c>
      <c r="H31" s="38">
        <v>6</v>
      </c>
      <c r="I31" s="7">
        <v>5.2</v>
      </c>
      <c r="J31" s="44">
        <v>1.2</v>
      </c>
      <c r="K31" s="6">
        <f t="shared" si="2"/>
        <v>5</v>
      </c>
      <c r="L31" s="40">
        <f t="shared" si="3"/>
        <v>0.2</v>
      </c>
      <c r="M31" s="4" t="s">
        <v>166</v>
      </c>
      <c r="N31" s="32" t="s">
        <v>172</v>
      </c>
      <c r="O31" s="21" t="s">
        <v>181</v>
      </c>
      <c r="P31" s="130">
        <f t="shared" si="4"/>
        <v>-4.427505413722222</v>
      </c>
    </row>
    <row r="32" spans="1:16" s="3" customFormat="1" ht="13.5">
      <c r="A32" s="3" t="s">
        <v>171</v>
      </c>
      <c r="B32" s="53">
        <f t="shared" si="5"/>
        <v>18.833333333333332</v>
      </c>
      <c r="C32" s="5">
        <v>8</v>
      </c>
      <c r="D32" s="5"/>
      <c r="E32" s="25">
        <v>3229</v>
      </c>
      <c r="F32" s="3">
        <f t="shared" si="0"/>
        <v>0.01759810795314385</v>
      </c>
      <c r="G32" s="39">
        <f t="shared" si="1"/>
        <v>354.6944444444444</v>
      </c>
      <c r="H32" s="38">
        <v>7.6</v>
      </c>
      <c r="I32" s="7">
        <v>6.6</v>
      </c>
      <c r="J32" s="46">
        <v>2.1</v>
      </c>
      <c r="K32" s="6">
        <f t="shared" si="2"/>
        <v>3.6190476190476186</v>
      </c>
      <c r="L32" s="40">
        <f t="shared" si="3"/>
        <v>0.27631578947368424</v>
      </c>
      <c r="M32" s="4" t="s">
        <v>166</v>
      </c>
      <c r="N32" s="32" t="s">
        <v>172</v>
      </c>
      <c r="O32" s="21" t="s">
        <v>181</v>
      </c>
      <c r="P32" s="130">
        <f t="shared" si="4"/>
        <v>-3.372684271322222</v>
      </c>
    </row>
    <row r="33" spans="1:16" s="3" customFormat="1" ht="13.5">
      <c r="A33" s="3" t="s">
        <v>171</v>
      </c>
      <c r="B33" s="53">
        <f t="shared" si="5"/>
        <v>18.833333333333332</v>
      </c>
      <c r="C33" s="5">
        <v>8</v>
      </c>
      <c r="D33" s="5"/>
      <c r="E33" s="25">
        <v>3229</v>
      </c>
      <c r="F33" s="3">
        <f t="shared" si="0"/>
        <v>0.01759810795314385</v>
      </c>
      <c r="G33" s="39">
        <f t="shared" si="1"/>
        <v>354.6944444444444</v>
      </c>
      <c r="H33" s="38">
        <v>8.4</v>
      </c>
      <c r="I33" s="7">
        <v>7.3</v>
      </c>
      <c r="J33" s="46">
        <v>3.3</v>
      </c>
      <c r="K33" s="6">
        <f t="shared" si="2"/>
        <v>2.545454545454546</v>
      </c>
      <c r="L33" s="40">
        <f t="shared" si="3"/>
        <v>0.3928571428571428</v>
      </c>
      <c r="M33" s="4" t="s">
        <v>166</v>
      </c>
      <c r="N33" s="32" t="s">
        <v>172</v>
      </c>
      <c r="O33" s="21" t="s">
        <v>181</v>
      </c>
      <c r="P33" s="130">
        <f t="shared" si="4"/>
        <v>-2.8452737001222212</v>
      </c>
    </row>
    <row r="34" spans="1:16" s="3" customFormat="1" ht="13.5">
      <c r="A34" s="3" t="s">
        <v>171</v>
      </c>
      <c r="B34" s="53">
        <f t="shared" si="5"/>
        <v>18.833333333333332</v>
      </c>
      <c r="C34" s="5">
        <v>8</v>
      </c>
      <c r="D34" s="5"/>
      <c r="E34" s="25">
        <v>3229</v>
      </c>
      <c r="F34" s="3">
        <f t="shared" si="0"/>
        <v>0.01759810795314385</v>
      </c>
      <c r="G34" s="39">
        <f t="shared" si="1"/>
        <v>354.6944444444444</v>
      </c>
      <c r="H34" s="38">
        <v>9.1</v>
      </c>
      <c r="I34" s="7">
        <v>7.9</v>
      </c>
      <c r="J34" s="46">
        <v>4</v>
      </c>
      <c r="K34" s="6">
        <f t="shared" si="2"/>
        <v>2.275</v>
      </c>
      <c r="L34" s="40">
        <f t="shared" si="3"/>
        <v>0.43956043956043955</v>
      </c>
      <c r="M34" s="4" t="s">
        <v>166</v>
      </c>
      <c r="N34" s="32" t="s">
        <v>172</v>
      </c>
      <c r="O34" s="21" t="s">
        <v>181</v>
      </c>
      <c r="P34" s="130">
        <f t="shared" si="4"/>
        <v>-2.3837894503222223</v>
      </c>
    </row>
    <row r="35" spans="1:16" s="3" customFormat="1" ht="13.5">
      <c r="A35" s="3" t="s">
        <v>171</v>
      </c>
      <c r="B35" s="53">
        <f t="shared" si="5"/>
        <v>18.833333333333332</v>
      </c>
      <c r="C35" s="5">
        <v>8</v>
      </c>
      <c r="D35" s="5"/>
      <c r="E35" s="25">
        <v>3229</v>
      </c>
      <c r="F35" s="3">
        <f t="shared" si="0"/>
        <v>0.01759810795314385</v>
      </c>
      <c r="G35" s="39">
        <f t="shared" si="1"/>
        <v>354.6944444444444</v>
      </c>
      <c r="H35" s="38">
        <v>10.2</v>
      </c>
      <c r="I35" s="7">
        <v>8.9</v>
      </c>
      <c r="J35" s="46">
        <v>4.6</v>
      </c>
      <c r="K35" s="6">
        <f t="shared" si="2"/>
        <v>2.217391304347826</v>
      </c>
      <c r="L35" s="40">
        <f t="shared" si="3"/>
        <v>0.45098039215686275</v>
      </c>
      <c r="M35" s="4" t="s">
        <v>166</v>
      </c>
      <c r="N35" s="32" t="s">
        <v>172</v>
      </c>
      <c r="O35" s="21" t="s">
        <v>181</v>
      </c>
      <c r="P35" s="130">
        <f t="shared" si="4"/>
        <v>-1.6585999149222221</v>
      </c>
    </row>
    <row r="36" spans="1:16" s="3" customFormat="1" ht="13.5">
      <c r="A36" s="3" t="s">
        <v>171</v>
      </c>
      <c r="B36" s="53">
        <f t="shared" si="5"/>
        <v>18.833333333333332</v>
      </c>
      <c r="C36" s="5">
        <v>8</v>
      </c>
      <c r="D36" s="5"/>
      <c r="E36" s="25">
        <v>3229</v>
      </c>
      <c r="F36" s="3">
        <f t="shared" si="0"/>
        <v>0.01759810795314385</v>
      </c>
      <c r="G36" s="39">
        <f t="shared" si="1"/>
        <v>354.6944444444444</v>
      </c>
      <c r="H36" s="38">
        <v>17.6</v>
      </c>
      <c r="I36" s="7">
        <v>15.3</v>
      </c>
      <c r="J36" s="46">
        <v>4.2</v>
      </c>
      <c r="K36" s="6">
        <f aca="true" t="shared" si="6" ref="K36:K67">H36/J36</f>
        <v>4.190476190476191</v>
      </c>
      <c r="L36" s="40">
        <f t="shared" si="3"/>
        <v>0.23863636363636362</v>
      </c>
      <c r="M36" s="4" t="s">
        <v>166</v>
      </c>
      <c r="N36" s="32" t="s">
        <v>172</v>
      </c>
      <c r="O36" s="21" t="s">
        <v>181</v>
      </c>
      <c r="P36" s="130">
        <f t="shared" si="4"/>
        <v>3.21994786867778</v>
      </c>
    </row>
    <row r="37" spans="1:16" s="3" customFormat="1" ht="13.5">
      <c r="A37" s="3" t="s">
        <v>171</v>
      </c>
      <c r="B37" s="53">
        <f t="shared" si="5"/>
        <v>18.833333333333332</v>
      </c>
      <c r="C37" s="5">
        <v>8</v>
      </c>
      <c r="D37" s="5"/>
      <c r="E37" s="25">
        <v>3229</v>
      </c>
      <c r="F37" s="3">
        <f t="shared" si="0"/>
        <v>0.01759810795314385</v>
      </c>
      <c r="G37" s="39">
        <f t="shared" si="1"/>
        <v>354.6944444444444</v>
      </c>
      <c r="H37" s="38">
        <v>26.2</v>
      </c>
      <c r="I37" s="7">
        <v>22.8</v>
      </c>
      <c r="J37" s="46">
        <v>5</v>
      </c>
      <c r="K37" s="6">
        <f t="shared" si="6"/>
        <v>5.24</v>
      </c>
      <c r="L37" s="40">
        <f t="shared" si="3"/>
        <v>0.19083969465648853</v>
      </c>
      <c r="M37" s="4" t="s">
        <v>166</v>
      </c>
      <c r="N37" s="32" t="s">
        <v>172</v>
      </c>
      <c r="O37" s="21" t="s">
        <v>181</v>
      </c>
      <c r="P37" s="130">
        <f t="shared" si="4"/>
        <v>8.889611509077778</v>
      </c>
    </row>
    <row r="38" spans="1:16" s="3" customFormat="1" ht="13.5">
      <c r="A38" s="3" t="s">
        <v>171</v>
      </c>
      <c r="B38" s="53">
        <f t="shared" si="5"/>
        <v>18.833333333333332</v>
      </c>
      <c r="C38" s="5">
        <v>8</v>
      </c>
      <c r="D38" s="5"/>
      <c r="E38" s="25">
        <v>3229</v>
      </c>
      <c r="F38" s="3">
        <f t="shared" si="0"/>
        <v>0.01759810795314385</v>
      </c>
      <c r="G38" s="39">
        <f t="shared" si="1"/>
        <v>354.6944444444444</v>
      </c>
      <c r="H38" s="38">
        <v>30.5</v>
      </c>
      <c r="I38" s="7">
        <v>26.5</v>
      </c>
      <c r="J38" s="46">
        <v>7.1</v>
      </c>
      <c r="K38" s="6">
        <f t="shared" si="6"/>
        <v>4.295774647887324</v>
      </c>
      <c r="L38" s="40">
        <f t="shared" si="3"/>
        <v>0.23278688524590163</v>
      </c>
      <c r="M38" s="4" t="s">
        <v>166</v>
      </c>
      <c r="N38" s="32" t="s">
        <v>172</v>
      </c>
      <c r="O38" s="21" t="s">
        <v>181</v>
      </c>
      <c r="P38" s="130">
        <f t="shared" si="4"/>
        <v>11.72444332927778</v>
      </c>
    </row>
    <row r="39" spans="1:16" s="3" customFormat="1" ht="13.5">
      <c r="A39" s="3" t="s">
        <v>171</v>
      </c>
      <c r="B39" s="53">
        <f t="shared" si="5"/>
        <v>18.833333333333332</v>
      </c>
      <c r="C39" s="5">
        <v>8</v>
      </c>
      <c r="D39" s="5"/>
      <c r="E39" s="25">
        <v>3229</v>
      </c>
      <c r="F39" s="3">
        <f t="shared" si="0"/>
        <v>0.01759810795314385</v>
      </c>
      <c r="G39" s="39">
        <f t="shared" si="1"/>
        <v>354.6944444444444</v>
      </c>
      <c r="H39" s="38">
        <v>34.4</v>
      </c>
      <c r="I39" s="7">
        <v>29.9</v>
      </c>
      <c r="J39" s="46">
        <v>8.7</v>
      </c>
      <c r="K39" s="6">
        <f t="shared" si="6"/>
        <v>3.954022988505747</v>
      </c>
      <c r="L39" s="40">
        <f t="shared" si="3"/>
        <v>0.25290697674418605</v>
      </c>
      <c r="M39" s="4" t="s">
        <v>166</v>
      </c>
      <c r="N39" s="32" t="s">
        <v>172</v>
      </c>
      <c r="O39" s="21" t="s">
        <v>181</v>
      </c>
      <c r="P39" s="130">
        <f t="shared" si="4"/>
        <v>14.295569863877777</v>
      </c>
    </row>
    <row r="40" spans="1:16" s="3" customFormat="1" ht="13.5">
      <c r="A40" s="3" t="s">
        <v>171</v>
      </c>
      <c r="B40" s="53">
        <f t="shared" si="5"/>
        <v>18.833333333333332</v>
      </c>
      <c r="C40" s="5">
        <v>8</v>
      </c>
      <c r="D40" s="5"/>
      <c r="E40" s="25">
        <v>3229</v>
      </c>
      <c r="F40" s="3">
        <f t="shared" si="0"/>
        <v>0.01759810795314385</v>
      </c>
      <c r="G40" s="39">
        <f t="shared" si="1"/>
        <v>354.6944444444444</v>
      </c>
      <c r="H40" s="38">
        <v>37.9</v>
      </c>
      <c r="I40" s="7">
        <v>32.9</v>
      </c>
      <c r="J40" s="46">
        <v>11</v>
      </c>
      <c r="K40" s="6">
        <f t="shared" si="6"/>
        <v>3.4454545454545453</v>
      </c>
      <c r="L40" s="40">
        <f t="shared" si="3"/>
        <v>0.29023746701846964</v>
      </c>
      <c r="M40" s="4" t="s">
        <v>166</v>
      </c>
      <c r="N40" s="32" t="s">
        <v>172</v>
      </c>
      <c r="O40" s="21" t="s">
        <v>181</v>
      </c>
      <c r="P40" s="130">
        <f t="shared" si="4"/>
        <v>16.602991112877778</v>
      </c>
    </row>
    <row r="41" spans="1:16" s="3" customFormat="1" ht="13.5">
      <c r="A41" s="3" t="s">
        <v>171</v>
      </c>
      <c r="B41" s="53">
        <f t="shared" si="5"/>
        <v>18.833333333333332</v>
      </c>
      <c r="C41" s="5">
        <v>8</v>
      </c>
      <c r="D41" s="5"/>
      <c r="E41" s="25">
        <v>3229</v>
      </c>
      <c r="F41" s="3">
        <f t="shared" si="0"/>
        <v>0.01759810795314385</v>
      </c>
      <c r="G41" s="39">
        <f t="shared" si="1"/>
        <v>354.6944444444444</v>
      </c>
      <c r="H41" s="38">
        <v>41.5</v>
      </c>
      <c r="I41" s="7">
        <v>36</v>
      </c>
      <c r="J41" s="46">
        <v>13.1</v>
      </c>
      <c r="K41" s="6">
        <f t="shared" si="6"/>
        <v>3.16793893129771</v>
      </c>
      <c r="L41" s="40">
        <f t="shared" si="3"/>
        <v>0.3156626506024096</v>
      </c>
      <c r="M41" s="4" t="s">
        <v>166</v>
      </c>
      <c r="N41" s="32" t="s">
        <v>172</v>
      </c>
      <c r="O41" s="21" t="s">
        <v>181</v>
      </c>
      <c r="P41" s="130">
        <f t="shared" si="4"/>
        <v>18.976338683277778</v>
      </c>
    </row>
    <row r="42" spans="1:16" s="3" customFormat="1" ht="13.5">
      <c r="A42" s="3" t="s">
        <v>171</v>
      </c>
      <c r="B42" s="53">
        <f t="shared" si="5"/>
        <v>18.833333333333332</v>
      </c>
      <c r="C42" s="5">
        <v>8</v>
      </c>
      <c r="D42" s="5"/>
      <c r="E42" s="25">
        <v>3229</v>
      </c>
      <c r="F42" s="3">
        <f t="shared" si="0"/>
        <v>0.01759810795314385</v>
      </c>
      <c r="G42" s="39">
        <f t="shared" si="1"/>
        <v>354.6944444444444</v>
      </c>
      <c r="H42" s="38">
        <v>42.2</v>
      </c>
      <c r="I42" s="7">
        <v>36.6</v>
      </c>
      <c r="J42" s="46">
        <v>13.1</v>
      </c>
      <c r="K42" s="6">
        <f t="shared" si="6"/>
        <v>3.221374045801527</v>
      </c>
      <c r="L42" s="40">
        <f t="shared" si="3"/>
        <v>0.3104265402843602</v>
      </c>
      <c r="M42" s="4" t="s">
        <v>166</v>
      </c>
      <c r="N42" s="32" t="s">
        <v>172</v>
      </c>
      <c r="O42" s="21" t="s">
        <v>181</v>
      </c>
      <c r="P42" s="130">
        <f t="shared" si="4"/>
        <v>19.43782293307778</v>
      </c>
    </row>
    <row r="43" spans="1:16" s="3" customFormat="1" ht="13.5">
      <c r="A43" s="3" t="s">
        <v>160</v>
      </c>
      <c r="B43" s="53">
        <v>19</v>
      </c>
      <c r="C43" s="5">
        <v>8</v>
      </c>
      <c r="D43" s="5"/>
      <c r="E43" s="25">
        <v>2967</v>
      </c>
      <c r="F43" s="3">
        <f t="shared" si="0"/>
        <v>0.018358670483850786</v>
      </c>
      <c r="G43" s="39">
        <f t="shared" si="1"/>
        <v>361</v>
      </c>
      <c r="H43" s="38">
        <v>2</v>
      </c>
      <c r="I43" s="7">
        <v>1.7</v>
      </c>
      <c r="J43" s="44">
        <v>0.3</v>
      </c>
      <c r="K43" s="6">
        <f t="shared" si="6"/>
        <v>6.666666666666667</v>
      </c>
      <c r="L43" s="40">
        <f t="shared" si="3"/>
        <v>0.15</v>
      </c>
      <c r="M43" s="4" t="s">
        <v>161</v>
      </c>
      <c r="N43" s="32" t="s">
        <v>162</v>
      </c>
      <c r="O43" s="21" t="s">
        <v>181</v>
      </c>
      <c r="P43" s="130">
        <f t="shared" si="4"/>
        <v>-6.959556783999998</v>
      </c>
    </row>
    <row r="44" spans="1:16" s="3" customFormat="1" ht="13.5">
      <c r="A44" s="3" t="s">
        <v>160</v>
      </c>
      <c r="B44" s="53">
        <v>19</v>
      </c>
      <c r="C44" s="5">
        <v>8</v>
      </c>
      <c r="D44" s="5"/>
      <c r="E44" s="25">
        <v>2967</v>
      </c>
      <c r="F44" s="3">
        <f t="shared" si="0"/>
        <v>0.018358670483850786</v>
      </c>
      <c r="G44" s="39">
        <f t="shared" si="1"/>
        <v>361</v>
      </c>
      <c r="H44" s="38">
        <v>2.9</v>
      </c>
      <c r="I44" s="7">
        <v>2.5</v>
      </c>
      <c r="J44" s="44">
        <v>0.4</v>
      </c>
      <c r="K44" s="6">
        <f t="shared" si="6"/>
        <v>7.249999999999999</v>
      </c>
      <c r="L44" s="40">
        <f t="shared" si="3"/>
        <v>0.13793103448275865</v>
      </c>
      <c r="M44" s="4" t="s">
        <v>161</v>
      </c>
      <c r="N44" s="32" t="s">
        <v>162</v>
      </c>
      <c r="O44" s="21" t="s">
        <v>181</v>
      </c>
      <c r="P44" s="130">
        <f t="shared" si="4"/>
        <v>-6.366219891399998</v>
      </c>
    </row>
    <row r="45" spans="1:16" s="3" customFormat="1" ht="13.5">
      <c r="A45" s="3" t="s">
        <v>160</v>
      </c>
      <c r="B45" s="53">
        <v>19</v>
      </c>
      <c r="C45" s="5">
        <v>8</v>
      </c>
      <c r="D45" s="5"/>
      <c r="E45" s="25">
        <v>2967</v>
      </c>
      <c r="F45" s="3">
        <f t="shared" si="0"/>
        <v>0.018358670483850786</v>
      </c>
      <c r="G45" s="39">
        <f t="shared" si="1"/>
        <v>361</v>
      </c>
      <c r="H45" s="38">
        <v>5</v>
      </c>
      <c r="I45" s="7">
        <v>4.3</v>
      </c>
      <c r="J45" s="44">
        <v>0.8</v>
      </c>
      <c r="K45" s="6">
        <f t="shared" si="6"/>
        <v>6.25</v>
      </c>
      <c r="L45" s="40">
        <f t="shared" si="3"/>
        <v>0.16</v>
      </c>
      <c r="M45" s="4" t="s">
        <v>161</v>
      </c>
      <c r="N45" s="32" t="s">
        <v>162</v>
      </c>
      <c r="O45" s="21" t="s">
        <v>181</v>
      </c>
      <c r="P45" s="130">
        <f t="shared" si="4"/>
        <v>-4.981767141999999</v>
      </c>
    </row>
    <row r="46" spans="1:16" s="3" customFormat="1" ht="13.5">
      <c r="A46" s="3" t="s">
        <v>160</v>
      </c>
      <c r="B46" s="53">
        <v>19</v>
      </c>
      <c r="C46" s="5">
        <v>8</v>
      </c>
      <c r="D46" s="5"/>
      <c r="E46" s="25">
        <v>2967</v>
      </c>
      <c r="F46" s="3">
        <f t="shared" si="0"/>
        <v>0.018358670483850786</v>
      </c>
      <c r="G46" s="39">
        <f t="shared" si="1"/>
        <v>361</v>
      </c>
      <c r="H46" s="38">
        <v>6.2</v>
      </c>
      <c r="I46" s="7">
        <v>5.4</v>
      </c>
      <c r="J46" s="44">
        <v>1.3</v>
      </c>
      <c r="K46" s="6">
        <f t="shared" si="6"/>
        <v>4.769230769230769</v>
      </c>
      <c r="L46" s="40">
        <f t="shared" si="3"/>
        <v>0.20967741935483872</v>
      </c>
      <c r="M46" s="4" t="s">
        <v>161</v>
      </c>
      <c r="N46" s="32" t="s">
        <v>162</v>
      </c>
      <c r="O46" s="21" t="s">
        <v>181</v>
      </c>
      <c r="P46" s="130">
        <f t="shared" si="4"/>
        <v>-4.190651285199999</v>
      </c>
    </row>
    <row r="47" spans="1:16" s="3" customFormat="1" ht="13.5">
      <c r="A47" s="3" t="s">
        <v>160</v>
      </c>
      <c r="B47" s="53">
        <v>19</v>
      </c>
      <c r="C47" s="5">
        <v>8</v>
      </c>
      <c r="D47" s="5"/>
      <c r="E47" s="25">
        <v>2967</v>
      </c>
      <c r="F47" s="3">
        <f t="shared" si="0"/>
        <v>0.018358670483850786</v>
      </c>
      <c r="G47" s="39">
        <f t="shared" si="1"/>
        <v>361</v>
      </c>
      <c r="H47" s="38">
        <v>7.4</v>
      </c>
      <c r="I47" s="7">
        <v>6.4</v>
      </c>
      <c r="J47" s="46">
        <v>2</v>
      </c>
      <c r="K47" s="6">
        <f t="shared" si="6"/>
        <v>3.7</v>
      </c>
      <c r="L47" s="40">
        <f t="shared" si="3"/>
        <v>0.27027027027027023</v>
      </c>
      <c r="M47" s="4" t="s">
        <v>161</v>
      </c>
      <c r="N47" s="32" t="s">
        <v>162</v>
      </c>
      <c r="O47" s="21" t="s">
        <v>181</v>
      </c>
      <c r="P47" s="130">
        <f t="shared" si="4"/>
        <v>-3.3995354283999983</v>
      </c>
    </row>
    <row r="48" spans="1:16" s="3" customFormat="1" ht="13.5">
      <c r="A48" s="3" t="s">
        <v>160</v>
      </c>
      <c r="B48" s="53">
        <v>19</v>
      </c>
      <c r="C48" s="5">
        <v>8</v>
      </c>
      <c r="D48" s="5"/>
      <c r="E48" s="25">
        <v>2967</v>
      </c>
      <c r="F48" s="3">
        <f t="shared" si="0"/>
        <v>0.018358670483850786</v>
      </c>
      <c r="G48" s="39">
        <f t="shared" si="1"/>
        <v>361</v>
      </c>
      <c r="H48" s="38">
        <v>8.8</v>
      </c>
      <c r="I48" s="7">
        <v>7.6</v>
      </c>
      <c r="J48" s="46">
        <v>2.3</v>
      </c>
      <c r="K48" s="6">
        <f t="shared" si="6"/>
        <v>3.8260869565217397</v>
      </c>
      <c r="L48" s="40">
        <f t="shared" si="3"/>
        <v>0.2613636363636363</v>
      </c>
      <c r="M48" s="4" t="s">
        <v>161</v>
      </c>
      <c r="N48" s="32" t="s">
        <v>162</v>
      </c>
      <c r="O48" s="21" t="s">
        <v>181</v>
      </c>
      <c r="P48" s="130">
        <f t="shared" si="4"/>
        <v>-2.476566928799998</v>
      </c>
    </row>
    <row r="49" spans="1:16" s="3" customFormat="1" ht="13.5">
      <c r="A49" s="3" t="s">
        <v>160</v>
      </c>
      <c r="B49" s="53">
        <v>19</v>
      </c>
      <c r="C49" s="5">
        <v>8</v>
      </c>
      <c r="D49" s="5"/>
      <c r="E49" s="25">
        <v>2967</v>
      </c>
      <c r="F49" s="3">
        <f t="shared" si="0"/>
        <v>0.018358670483850786</v>
      </c>
      <c r="G49" s="39">
        <f t="shared" si="1"/>
        <v>361</v>
      </c>
      <c r="H49" s="38">
        <v>11.5</v>
      </c>
      <c r="I49" s="7">
        <v>10</v>
      </c>
      <c r="J49" s="46">
        <v>2.7</v>
      </c>
      <c r="K49" s="6">
        <f t="shared" si="6"/>
        <v>4.259259259259259</v>
      </c>
      <c r="L49" s="40">
        <f t="shared" si="3"/>
        <v>0.2347826086956522</v>
      </c>
      <c r="M49" s="4" t="s">
        <v>161</v>
      </c>
      <c r="N49" s="32" t="s">
        <v>162</v>
      </c>
      <c r="O49" s="21" t="s">
        <v>181</v>
      </c>
      <c r="P49" s="130">
        <f t="shared" si="4"/>
        <v>-0.6965562509999987</v>
      </c>
    </row>
    <row r="50" spans="1:16" s="3" customFormat="1" ht="13.5">
      <c r="A50" s="3" t="s">
        <v>160</v>
      </c>
      <c r="B50" s="53">
        <v>19</v>
      </c>
      <c r="C50" s="5">
        <v>8</v>
      </c>
      <c r="D50" s="5"/>
      <c r="E50" s="25">
        <v>2967</v>
      </c>
      <c r="F50" s="3">
        <f t="shared" si="0"/>
        <v>0.018358670483850786</v>
      </c>
      <c r="G50" s="39">
        <f t="shared" si="1"/>
        <v>361</v>
      </c>
      <c r="H50" s="38">
        <v>16.8</v>
      </c>
      <c r="I50" s="7">
        <v>14.6</v>
      </c>
      <c r="J50" s="46">
        <v>3</v>
      </c>
      <c r="K50" s="6">
        <f t="shared" si="6"/>
        <v>5.6000000000000005</v>
      </c>
      <c r="L50" s="40">
        <f t="shared" si="3"/>
        <v>0.17857142857142855</v>
      </c>
      <c r="M50" s="4" t="s">
        <v>161</v>
      </c>
      <c r="N50" s="32" t="s">
        <v>162</v>
      </c>
      <c r="O50" s="21" t="s">
        <v>181</v>
      </c>
      <c r="P50" s="130">
        <f t="shared" si="4"/>
        <v>2.797538783200002</v>
      </c>
    </row>
    <row r="51" spans="1:16" s="3" customFormat="1" ht="13.5">
      <c r="A51" s="3" t="s">
        <v>160</v>
      </c>
      <c r="B51" s="53">
        <v>19</v>
      </c>
      <c r="C51" s="5">
        <v>8</v>
      </c>
      <c r="D51" s="5"/>
      <c r="E51" s="25">
        <v>2967</v>
      </c>
      <c r="F51" s="3">
        <f t="shared" si="0"/>
        <v>0.018358670483850786</v>
      </c>
      <c r="G51" s="39">
        <f t="shared" si="1"/>
        <v>361</v>
      </c>
      <c r="H51" s="38">
        <v>20.4</v>
      </c>
      <c r="I51" s="7">
        <v>17.7</v>
      </c>
      <c r="J51" s="46">
        <v>3.2</v>
      </c>
      <c r="K51" s="6">
        <f t="shared" si="6"/>
        <v>6.374999999999999</v>
      </c>
      <c r="L51" s="40">
        <f t="shared" si="3"/>
        <v>0.15686274509803924</v>
      </c>
      <c r="M51" s="4" t="s">
        <v>161</v>
      </c>
      <c r="N51" s="32" t="s">
        <v>162</v>
      </c>
      <c r="O51" s="21" t="s">
        <v>181</v>
      </c>
      <c r="P51" s="130">
        <f t="shared" si="4"/>
        <v>5.1708863536</v>
      </c>
    </row>
    <row r="52" spans="1:16" s="3" customFormat="1" ht="13.5">
      <c r="A52" s="3" t="s">
        <v>160</v>
      </c>
      <c r="B52" s="53">
        <v>19</v>
      </c>
      <c r="C52" s="5">
        <v>8</v>
      </c>
      <c r="D52" s="5"/>
      <c r="E52" s="25">
        <v>2967</v>
      </c>
      <c r="F52" s="3">
        <f t="shared" si="0"/>
        <v>0.018358670483850786</v>
      </c>
      <c r="G52" s="39">
        <f t="shared" si="1"/>
        <v>361</v>
      </c>
      <c r="H52" s="38">
        <v>24.6</v>
      </c>
      <c r="I52" s="7">
        <v>21.4</v>
      </c>
      <c r="J52" s="46">
        <v>4</v>
      </c>
      <c r="K52" s="6">
        <f t="shared" si="6"/>
        <v>6.15</v>
      </c>
      <c r="L52" s="40">
        <f t="shared" si="3"/>
        <v>0.16260162601626016</v>
      </c>
      <c r="M52" s="4" t="s">
        <v>161</v>
      </c>
      <c r="N52" s="32" t="s">
        <v>162</v>
      </c>
      <c r="O52" s="21" t="s">
        <v>181</v>
      </c>
      <c r="P52" s="130">
        <f t="shared" si="4"/>
        <v>7.939791852400003</v>
      </c>
    </row>
    <row r="53" spans="1:16" s="3" customFormat="1" ht="13.5">
      <c r="A53" s="3" t="s">
        <v>160</v>
      </c>
      <c r="B53" s="53">
        <v>19</v>
      </c>
      <c r="C53" s="5">
        <v>8</v>
      </c>
      <c r="D53" s="5"/>
      <c r="E53" s="25">
        <v>2967</v>
      </c>
      <c r="F53" s="3">
        <f t="shared" si="0"/>
        <v>0.018358670483850786</v>
      </c>
      <c r="G53" s="39">
        <f t="shared" si="1"/>
        <v>361</v>
      </c>
      <c r="H53" s="38">
        <v>28.3</v>
      </c>
      <c r="I53" s="7">
        <v>24.6</v>
      </c>
      <c r="J53" s="46">
        <v>5.1</v>
      </c>
      <c r="K53" s="6">
        <f t="shared" si="6"/>
        <v>5.549019607843138</v>
      </c>
      <c r="L53" s="40">
        <f t="shared" si="3"/>
        <v>0.1802120141342756</v>
      </c>
      <c r="M53" s="4" t="s">
        <v>161</v>
      </c>
      <c r="N53" s="32" t="s">
        <v>162</v>
      </c>
      <c r="O53" s="21" t="s">
        <v>181</v>
      </c>
      <c r="P53" s="130">
        <f t="shared" si="4"/>
        <v>10.379065744200002</v>
      </c>
    </row>
    <row r="54" spans="1:16" s="3" customFormat="1" ht="13.5">
      <c r="A54" s="3" t="s">
        <v>160</v>
      </c>
      <c r="B54" s="53">
        <v>19</v>
      </c>
      <c r="C54" s="5">
        <v>8</v>
      </c>
      <c r="D54" s="5"/>
      <c r="E54" s="25">
        <v>2967</v>
      </c>
      <c r="F54" s="3">
        <f t="shared" si="0"/>
        <v>0.018358670483850786</v>
      </c>
      <c r="G54" s="39">
        <f t="shared" si="1"/>
        <v>361</v>
      </c>
      <c r="H54" s="38">
        <v>31.7</v>
      </c>
      <c r="I54" s="7">
        <v>27.5</v>
      </c>
      <c r="J54" s="46">
        <v>6.8</v>
      </c>
      <c r="K54" s="6">
        <f t="shared" si="6"/>
        <v>4.661764705882353</v>
      </c>
      <c r="L54" s="40">
        <f t="shared" si="3"/>
        <v>0.21451104100946372</v>
      </c>
      <c r="M54" s="4" t="s">
        <v>161</v>
      </c>
      <c r="N54" s="32" t="s">
        <v>162</v>
      </c>
      <c r="O54" s="21" t="s">
        <v>181</v>
      </c>
      <c r="P54" s="130">
        <f t="shared" si="4"/>
        <v>12.6205606718</v>
      </c>
    </row>
    <row r="55" spans="1:16" s="3" customFormat="1" ht="13.5">
      <c r="A55" s="3" t="s">
        <v>160</v>
      </c>
      <c r="B55" s="53">
        <v>19</v>
      </c>
      <c r="C55" s="5">
        <v>8</v>
      </c>
      <c r="D55" s="5"/>
      <c r="E55" s="25">
        <v>2967</v>
      </c>
      <c r="F55" s="3">
        <f t="shared" si="0"/>
        <v>0.018358670483850786</v>
      </c>
      <c r="G55" s="39">
        <f t="shared" si="1"/>
        <v>361</v>
      </c>
      <c r="H55" s="38">
        <v>35.1</v>
      </c>
      <c r="I55" s="7">
        <v>30.5</v>
      </c>
      <c r="J55" s="46">
        <v>8.5</v>
      </c>
      <c r="K55" s="6">
        <f t="shared" si="6"/>
        <v>4.129411764705883</v>
      </c>
      <c r="L55" s="40">
        <f t="shared" si="3"/>
        <v>0.24216524216524213</v>
      </c>
      <c r="M55" s="4" t="s">
        <v>161</v>
      </c>
      <c r="N55" s="32" t="s">
        <v>162</v>
      </c>
      <c r="O55" s="21" t="s">
        <v>181</v>
      </c>
      <c r="P55" s="130">
        <f t="shared" si="4"/>
        <v>14.862055599400001</v>
      </c>
    </row>
    <row r="56" spans="1:16" s="3" customFormat="1" ht="13.5">
      <c r="A56" s="3" t="s">
        <v>160</v>
      </c>
      <c r="B56" s="53">
        <v>19</v>
      </c>
      <c r="C56" s="5">
        <v>8</v>
      </c>
      <c r="D56" s="5"/>
      <c r="E56" s="25">
        <v>2967</v>
      </c>
      <c r="F56" s="3">
        <f t="shared" si="0"/>
        <v>0.018358670483850786</v>
      </c>
      <c r="G56" s="39">
        <f t="shared" si="1"/>
        <v>361</v>
      </c>
      <c r="H56" s="38">
        <v>40</v>
      </c>
      <c r="I56" s="7">
        <v>34.7</v>
      </c>
      <c r="J56" s="46">
        <v>10.9</v>
      </c>
      <c r="K56" s="6">
        <f t="shared" si="6"/>
        <v>3.6697247706422016</v>
      </c>
      <c r="L56" s="40">
        <f t="shared" si="3"/>
        <v>0.2725</v>
      </c>
      <c r="M56" s="4" t="s">
        <v>161</v>
      </c>
      <c r="N56" s="32" t="s">
        <v>162</v>
      </c>
      <c r="O56" s="21" t="s">
        <v>181</v>
      </c>
      <c r="P56" s="130">
        <f t="shared" si="4"/>
        <v>18.092445348000002</v>
      </c>
    </row>
    <row r="57" spans="1:16" s="3" customFormat="1" ht="13.5">
      <c r="A57" s="3" t="s">
        <v>173</v>
      </c>
      <c r="B57" s="53">
        <v>20.25</v>
      </c>
      <c r="C57" s="5">
        <v>8.3333</v>
      </c>
      <c r="D57" s="5"/>
      <c r="E57" s="25">
        <v>3779</v>
      </c>
      <c r="F57" s="3">
        <f t="shared" si="0"/>
        <v>0.016267153097966322</v>
      </c>
      <c r="G57" s="39">
        <f t="shared" si="1"/>
        <v>410.0625</v>
      </c>
      <c r="H57" s="38">
        <v>2.5</v>
      </c>
      <c r="I57" s="7">
        <v>2.2</v>
      </c>
      <c r="J57" s="44">
        <v>0.3</v>
      </c>
      <c r="K57" s="6">
        <f t="shared" si="6"/>
        <v>8.333333333333334</v>
      </c>
      <c r="L57" s="40">
        <f t="shared" si="3"/>
        <v>0.12</v>
      </c>
      <c r="M57" s="4" t="s">
        <v>174</v>
      </c>
      <c r="N57" s="32" t="s">
        <v>175</v>
      </c>
      <c r="O57" s="21" t="s">
        <v>181</v>
      </c>
      <c r="P57" s="130">
        <f t="shared" si="4"/>
        <v>-5.812925731375</v>
      </c>
    </row>
    <row r="58" spans="1:16" s="3" customFormat="1" ht="13.5">
      <c r="A58" s="3" t="s">
        <v>173</v>
      </c>
      <c r="B58" s="53">
        <v>20.25</v>
      </c>
      <c r="C58" s="5">
        <v>8.3333</v>
      </c>
      <c r="D58" s="5"/>
      <c r="E58" s="25">
        <v>3779</v>
      </c>
      <c r="F58" s="3">
        <f t="shared" si="0"/>
        <v>0.016267153097966322</v>
      </c>
      <c r="G58" s="39">
        <f t="shared" si="1"/>
        <v>410.0625</v>
      </c>
      <c r="H58" s="38">
        <v>4.9</v>
      </c>
      <c r="I58" s="7">
        <v>4.3</v>
      </c>
      <c r="J58" s="44">
        <v>0.7</v>
      </c>
      <c r="K58" s="6">
        <f t="shared" si="6"/>
        <v>7.000000000000001</v>
      </c>
      <c r="L58" s="40">
        <f t="shared" si="3"/>
        <v>0.14285714285714285</v>
      </c>
      <c r="M58" s="4" t="s">
        <v>174</v>
      </c>
      <c r="N58" s="32" t="s">
        <v>175</v>
      </c>
      <c r="O58" s="21" t="s">
        <v>181</v>
      </c>
      <c r="P58" s="130">
        <f t="shared" si="4"/>
        <v>-4.230694017774999</v>
      </c>
    </row>
    <row r="59" spans="1:16" s="3" customFormat="1" ht="13.5">
      <c r="A59" s="3" t="s">
        <v>173</v>
      </c>
      <c r="B59" s="53">
        <v>20.25</v>
      </c>
      <c r="C59" s="5">
        <v>8.3333</v>
      </c>
      <c r="D59" s="5"/>
      <c r="E59" s="25">
        <v>3779</v>
      </c>
      <c r="F59" s="3">
        <f t="shared" si="0"/>
        <v>0.016267153097966322</v>
      </c>
      <c r="G59" s="39">
        <f t="shared" si="1"/>
        <v>410.0625</v>
      </c>
      <c r="H59" s="38">
        <v>6.9</v>
      </c>
      <c r="I59" s="7">
        <v>6</v>
      </c>
      <c r="J59" s="44">
        <v>1.2</v>
      </c>
      <c r="K59" s="6">
        <f t="shared" si="6"/>
        <v>5.750000000000001</v>
      </c>
      <c r="L59" s="40">
        <f t="shared" si="3"/>
        <v>0.17391304347826084</v>
      </c>
      <c r="M59" s="4" t="s">
        <v>174</v>
      </c>
      <c r="N59" s="32" t="s">
        <v>175</v>
      </c>
      <c r="O59" s="21" t="s">
        <v>181</v>
      </c>
      <c r="P59" s="130">
        <f t="shared" si="4"/>
        <v>-2.912167589774999</v>
      </c>
    </row>
    <row r="60" spans="1:16" s="3" customFormat="1" ht="13.5">
      <c r="A60" s="3" t="s">
        <v>173</v>
      </c>
      <c r="B60" s="53">
        <v>20.25</v>
      </c>
      <c r="C60" s="5">
        <v>8.3333</v>
      </c>
      <c r="D60" s="5"/>
      <c r="E60" s="25">
        <v>3779</v>
      </c>
      <c r="F60" s="3">
        <f t="shared" si="0"/>
        <v>0.016267153097966322</v>
      </c>
      <c r="G60" s="39">
        <f t="shared" si="1"/>
        <v>410.0625</v>
      </c>
      <c r="H60" s="38">
        <v>8.2</v>
      </c>
      <c r="I60" s="7">
        <v>7.1</v>
      </c>
      <c r="J60" s="46">
        <v>2.2</v>
      </c>
      <c r="K60" s="6">
        <f t="shared" si="6"/>
        <v>3.7272727272727266</v>
      </c>
      <c r="L60" s="40">
        <f t="shared" si="3"/>
        <v>0.26829268292682934</v>
      </c>
      <c r="M60" s="4" t="s">
        <v>174</v>
      </c>
      <c r="N60" s="32" t="s">
        <v>175</v>
      </c>
      <c r="O60" s="21" t="s">
        <v>181</v>
      </c>
      <c r="P60" s="130">
        <f t="shared" si="4"/>
        <v>-2.055125411575</v>
      </c>
    </row>
    <row r="61" spans="1:16" s="3" customFormat="1" ht="13.5">
      <c r="A61" s="3" t="s">
        <v>173</v>
      </c>
      <c r="B61" s="53">
        <v>20.25</v>
      </c>
      <c r="C61" s="5">
        <v>8.3333</v>
      </c>
      <c r="D61" s="5"/>
      <c r="E61" s="25">
        <v>3779</v>
      </c>
      <c r="F61" s="3">
        <f t="shared" si="0"/>
        <v>0.016267153097966322</v>
      </c>
      <c r="G61" s="39">
        <f t="shared" si="1"/>
        <v>410.0625</v>
      </c>
      <c r="H61" s="38">
        <v>12.3</v>
      </c>
      <c r="I61" s="7">
        <v>10.7</v>
      </c>
      <c r="J61" s="46">
        <v>3.5</v>
      </c>
      <c r="K61" s="6">
        <f t="shared" si="6"/>
        <v>3.5142857142857147</v>
      </c>
      <c r="L61" s="40">
        <f t="shared" si="3"/>
        <v>0.2845528455284553</v>
      </c>
      <c r="M61" s="4" t="s">
        <v>174</v>
      </c>
      <c r="N61" s="32" t="s">
        <v>175</v>
      </c>
      <c r="O61" s="21" t="s">
        <v>181</v>
      </c>
      <c r="P61" s="130">
        <f t="shared" si="4"/>
        <v>0.6478537658250012</v>
      </c>
    </row>
    <row r="62" spans="1:16" s="3" customFormat="1" ht="13.5">
      <c r="A62" s="3" t="s">
        <v>173</v>
      </c>
      <c r="B62" s="53">
        <v>20.25</v>
      </c>
      <c r="C62" s="5">
        <v>8.3333</v>
      </c>
      <c r="D62" s="5"/>
      <c r="E62" s="25">
        <v>3779</v>
      </c>
      <c r="F62" s="3">
        <f t="shared" si="0"/>
        <v>0.016267153097966322</v>
      </c>
      <c r="G62" s="39">
        <f t="shared" si="1"/>
        <v>410.0625</v>
      </c>
      <c r="H62" s="38">
        <v>17.3</v>
      </c>
      <c r="I62" s="7">
        <v>15</v>
      </c>
      <c r="J62" s="46">
        <v>4</v>
      </c>
      <c r="K62" s="6">
        <f t="shared" si="6"/>
        <v>4.325</v>
      </c>
      <c r="L62" s="40">
        <f t="shared" si="3"/>
        <v>0.23121387283236994</v>
      </c>
      <c r="M62" s="4" t="s">
        <v>174</v>
      </c>
      <c r="N62" s="32" t="s">
        <v>175</v>
      </c>
      <c r="O62" s="21" t="s">
        <v>181</v>
      </c>
      <c r="P62" s="130">
        <f t="shared" si="4"/>
        <v>3.944169835825001</v>
      </c>
    </row>
    <row r="63" spans="1:16" s="3" customFormat="1" ht="13.5">
      <c r="A63" s="3" t="s">
        <v>173</v>
      </c>
      <c r="B63" s="53">
        <v>20.25</v>
      </c>
      <c r="C63" s="5">
        <v>8.3333</v>
      </c>
      <c r="D63" s="5"/>
      <c r="E63" s="25">
        <v>3779</v>
      </c>
      <c r="F63" s="3">
        <f t="shared" si="0"/>
        <v>0.016267153097966322</v>
      </c>
      <c r="G63" s="39">
        <f t="shared" si="1"/>
        <v>410.0625</v>
      </c>
      <c r="H63" s="38">
        <v>21.7</v>
      </c>
      <c r="I63" s="7">
        <v>18.8</v>
      </c>
      <c r="J63" s="46">
        <v>4.4</v>
      </c>
      <c r="K63" s="6">
        <f t="shared" si="6"/>
        <v>4.931818181818182</v>
      </c>
      <c r="L63" s="40">
        <f t="shared" si="3"/>
        <v>0.20276497695852536</v>
      </c>
      <c r="M63" s="4" t="s">
        <v>174</v>
      </c>
      <c r="N63" s="32" t="s">
        <v>175</v>
      </c>
      <c r="O63" s="21" t="s">
        <v>181</v>
      </c>
      <c r="P63" s="130">
        <f t="shared" si="4"/>
        <v>6.844927977425</v>
      </c>
    </row>
    <row r="64" spans="1:16" s="3" customFormat="1" ht="13.5">
      <c r="A64" s="3" t="s">
        <v>173</v>
      </c>
      <c r="B64" s="53">
        <v>20.25</v>
      </c>
      <c r="C64" s="5">
        <v>8.3333</v>
      </c>
      <c r="D64" s="5"/>
      <c r="E64" s="25">
        <v>3779</v>
      </c>
      <c r="F64" s="3">
        <f t="shared" si="0"/>
        <v>0.016267153097966322</v>
      </c>
      <c r="G64" s="39">
        <f t="shared" si="1"/>
        <v>410.0625</v>
      </c>
      <c r="H64" s="38">
        <v>23.9</v>
      </c>
      <c r="I64" s="7">
        <v>20.8</v>
      </c>
      <c r="J64" s="46">
        <v>5</v>
      </c>
      <c r="K64" s="6">
        <f t="shared" si="6"/>
        <v>4.779999999999999</v>
      </c>
      <c r="L64" s="40">
        <f t="shared" si="3"/>
        <v>0.2092050209205021</v>
      </c>
      <c r="M64" s="4" t="s">
        <v>174</v>
      </c>
      <c r="N64" s="32" t="s">
        <v>175</v>
      </c>
      <c r="O64" s="21" t="s">
        <v>181</v>
      </c>
      <c r="P64" s="130">
        <f t="shared" si="4"/>
        <v>8.295307048225</v>
      </c>
    </row>
    <row r="65" spans="1:16" s="3" customFormat="1" ht="13.5">
      <c r="A65" s="3" t="s">
        <v>173</v>
      </c>
      <c r="B65" s="53">
        <v>20.25</v>
      </c>
      <c r="C65" s="5">
        <v>8.3333</v>
      </c>
      <c r="D65" s="5"/>
      <c r="E65" s="25">
        <v>3779</v>
      </c>
      <c r="F65" s="3">
        <f t="shared" si="0"/>
        <v>0.016267153097966322</v>
      </c>
      <c r="G65" s="39">
        <f t="shared" si="1"/>
        <v>410.0625</v>
      </c>
      <c r="H65" s="38">
        <v>26.1</v>
      </c>
      <c r="I65" s="7">
        <v>22.7</v>
      </c>
      <c r="J65" s="46">
        <v>5.7</v>
      </c>
      <c r="K65" s="6">
        <f t="shared" si="6"/>
        <v>4.578947368421053</v>
      </c>
      <c r="L65" s="40">
        <f t="shared" si="3"/>
        <v>0.21839080459770113</v>
      </c>
      <c r="M65" s="4" t="s">
        <v>174</v>
      </c>
      <c r="N65" s="32" t="s">
        <v>175</v>
      </c>
      <c r="O65" s="21" t="s">
        <v>181</v>
      </c>
      <c r="P65" s="130">
        <f t="shared" si="4"/>
        <v>9.745686119025</v>
      </c>
    </row>
    <row r="66" spans="1:16" s="3" customFormat="1" ht="13.5">
      <c r="A66" s="3" t="s">
        <v>173</v>
      </c>
      <c r="B66" s="53">
        <v>20.25</v>
      </c>
      <c r="C66" s="5">
        <v>8.3333</v>
      </c>
      <c r="D66" s="5"/>
      <c r="E66" s="25">
        <v>3779</v>
      </c>
      <c r="F66" s="3">
        <f t="shared" si="0"/>
        <v>0.016267153097966322</v>
      </c>
      <c r="G66" s="39">
        <f t="shared" si="1"/>
        <v>410.0625</v>
      </c>
      <c r="H66" s="38">
        <v>30</v>
      </c>
      <c r="I66" s="7">
        <v>26.1</v>
      </c>
      <c r="J66" s="46">
        <v>7.1</v>
      </c>
      <c r="K66" s="6">
        <f t="shared" si="6"/>
        <v>4.225352112676057</v>
      </c>
      <c r="L66" s="40">
        <f t="shared" si="3"/>
        <v>0.23666666666666664</v>
      </c>
      <c r="M66" s="4" t="s">
        <v>174</v>
      </c>
      <c r="N66" s="32" t="s">
        <v>175</v>
      </c>
      <c r="O66" s="21" t="s">
        <v>181</v>
      </c>
      <c r="P66" s="130">
        <f t="shared" si="4"/>
        <v>12.316812653625002</v>
      </c>
    </row>
    <row r="67" spans="1:16" s="12" customFormat="1" ht="12.75" customHeight="1">
      <c r="A67" s="3" t="s">
        <v>173</v>
      </c>
      <c r="B67" s="53">
        <v>20.25</v>
      </c>
      <c r="C67" s="5">
        <v>8.3333</v>
      </c>
      <c r="D67" s="5"/>
      <c r="E67" s="25">
        <v>3779</v>
      </c>
      <c r="F67" s="3">
        <f aca="true" t="shared" si="7" ref="F67:F130">E67^(-0.5)</f>
        <v>0.016267153097966322</v>
      </c>
      <c r="G67" s="39">
        <f t="shared" si="1"/>
        <v>410.0625</v>
      </c>
      <c r="H67" s="38">
        <v>33.1</v>
      </c>
      <c r="I67" s="7">
        <v>28.7</v>
      </c>
      <c r="J67" s="46">
        <v>9.5</v>
      </c>
      <c r="K67" s="6">
        <f t="shared" si="6"/>
        <v>3.4842105263157896</v>
      </c>
      <c r="L67" s="40">
        <f t="shared" si="3"/>
        <v>0.28700906344410876</v>
      </c>
      <c r="M67" s="4" t="s">
        <v>174</v>
      </c>
      <c r="N67" s="32" t="s">
        <v>175</v>
      </c>
      <c r="O67" s="21" t="s">
        <v>181</v>
      </c>
      <c r="P67" s="130">
        <f t="shared" si="4"/>
        <v>14.360528617025002</v>
      </c>
    </row>
    <row r="68" spans="1:16" s="12" customFormat="1" ht="12.75" customHeight="1">
      <c r="A68" s="3" t="s">
        <v>173</v>
      </c>
      <c r="B68" s="53">
        <v>20.25</v>
      </c>
      <c r="C68" s="5">
        <v>8.3333</v>
      </c>
      <c r="D68" s="5"/>
      <c r="E68" s="25">
        <v>3779</v>
      </c>
      <c r="F68" s="3">
        <f t="shared" si="7"/>
        <v>0.016267153097966322</v>
      </c>
      <c r="G68" s="39">
        <f aca="true" t="shared" si="8" ref="G68:G131">B68^G$2</f>
        <v>410.0625</v>
      </c>
      <c r="H68" s="38">
        <v>36.7</v>
      </c>
      <c r="I68" s="7">
        <v>31.9</v>
      </c>
      <c r="J68" s="46">
        <v>12.6</v>
      </c>
      <c r="K68" s="6">
        <f aca="true" t="shared" si="9" ref="K68:K99">H68/J68</f>
        <v>2.912698412698413</v>
      </c>
      <c r="L68" s="40">
        <f t="shared" si="3"/>
        <v>0.3433242506811989</v>
      </c>
      <c r="M68" s="4" t="s">
        <v>174</v>
      </c>
      <c r="N68" s="32" t="s">
        <v>175</v>
      </c>
      <c r="O68" s="21" t="s">
        <v>181</v>
      </c>
      <c r="P68" s="130">
        <f t="shared" si="4"/>
        <v>16.733876187425004</v>
      </c>
    </row>
    <row r="69" spans="1:16" s="3" customFormat="1" ht="12.75" customHeight="1">
      <c r="A69" s="3" t="s">
        <v>173</v>
      </c>
      <c r="B69" s="53">
        <v>20.25</v>
      </c>
      <c r="C69" s="5">
        <v>8.3333</v>
      </c>
      <c r="D69" s="5"/>
      <c r="E69" s="25">
        <v>3779</v>
      </c>
      <c r="F69" s="3">
        <f t="shared" si="7"/>
        <v>0.016267153097966322</v>
      </c>
      <c r="G69" s="39">
        <f t="shared" si="8"/>
        <v>410.0625</v>
      </c>
      <c r="H69" s="38">
        <v>40.3</v>
      </c>
      <c r="I69" s="7">
        <v>35</v>
      </c>
      <c r="J69" s="46">
        <v>14.7</v>
      </c>
      <c r="K69" s="6">
        <f t="shared" si="9"/>
        <v>2.741496598639456</v>
      </c>
      <c r="L69" s="40">
        <f aca="true" t="shared" si="10" ref="L69:L132">1/K69</f>
        <v>0.36476426799007444</v>
      </c>
      <c r="M69" s="4" t="s">
        <v>174</v>
      </c>
      <c r="N69" s="32" t="s">
        <v>175</v>
      </c>
      <c r="O69" s="21" t="s">
        <v>181</v>
      </c>
      <c r="P69" s="130">
        <f aca="true" t="shared" si="11" ref="P69:P132">-14.28953391+0.016652218*G69+0.659263214*H69</f>
        <v>19.107223757824997</v>
      </c>
    </row>
    <row r="70" spans="1:16" s="3" customFormat="1" ht="12.75" customHeight="1">
      <c r="A70" s="3" t="s">
        <v>163</v>
      </c>
      <c r="B70" s="53">
        <f>20+7/12</f>
        <v>20.583333333333332</v>
      </c>
      <c r="C70" s="5">
        <v>8.3333</v>
      </c>
      <c r="D70" s="5"/>
      <c r="E70" s="25">
        <v>4478</v>
      </c>
      <c r="F70" s="3">
        <f t="shared" si="7"/>
        <v>0.014943693634945607</v>
      </c>
      <c r="G70" s="39">
        <f t="shared" si="8"/>
        <v>423.6736111111111</v>
      </c>
      <c r="H70" s="38">
        <v>3.1</v>
      </c>
      <c r="I70" s="7">
        <v>2.7</v>
      </c>
      <c r="J70" s="44">
        <v>0.3</v>
      </c>
      <c r="K70" s="6">
        <f t="shared" si="9"/>
        <v>10.333333333333334</v>
      </c>
      <c r="L70" s="40">
        <f t="shared" si="10"/>
        <v>0.0967741935483871</v>
      </c>
      <c r="M70" s="4" t="s">
        <v>158</v>
      </c>
      <c r="N70" s="32" t="s">
        <v>164</v>
      </c>
      <c r="O70" s="21" t="s">
        <v>181</v>
      </c>
      <c r="P70" s="130">
        <f t="shared" si="11"/>
        <v>-5.190712613530556</v>
      </c>
    </row>
    <row r="71" spans="1:16" s="3" customFormat="1" ht="12.75" customHeight="1">
      <c r="A71" s="3" t="s">
        <v>163</v>
      </c>
      <c r="B71" s="53">
        <f aca="true" t="shared" si="12" ref="B71:B83">20+7/12</f>
        <v>20.583333333333332</v>
      </c>
      <c r="C71" s="5">
        <v>8.3333</v>
      </c>
      <c r="D71" s="5"/>
      <c r="E71" s="25">
        <v>4478</v>
      </c>
      <c r="F71" s="3">
        <f t="shared" si="7"/>
        <v>0.014943693634945607</v>
      </c>
      <c r="G71" s="39">
        <f t="shared" si="8"/>
        <v>423.6736111111111</v>
      </c>
      <c r="H71" s="38">
        <v>5.4</v>
      </c>
      <c r="I71" s="7">
        <v>4.7</v>
      </c>
      <c r="J71" s="44">
        <v>0.8</v>
      </c>
      <c r="K71" s="6">
        <f t="shared" si="9"/>
        <v>6.75</v>
      </c>
      <c r="L71" s="40">
        <f t="shared" si="10"/>
        <v>0.14814814814814814</v>
      </c>
      <c r="M71" s="4" t="s">
        <v>158</v>
      </c>
      <c r="N71" s="32" t="s">
        <v>164</v>
      </c>
      <c r="O71" s="21" t="s">
        <v>181</v>
      </c>
      <c r="P71" s="130">
        <f t="shared" si="11"/>
        <v>-3.674407221330555</v>
      </c>
    </row>
    <row r="72" spans="1:16" ht="12.75" customHeight="1">
      <c r="A72" s="3" t="s">
        <v>163</v>
      </c>
      <c r="B72" s="53">
        <f t="shared" si="12"/>
        <v>20.583333333333332</v>
      </c>
      <c r="C72" s="5">
        <v>8.3333</v>
      </c>
      <c r="E72" s="25">
        <v>4478</v>
      </c>
      <c r="F72" s="3">
        <f t="shared" si="7"/>
        <v>0.014943693634945607</v>
      </c>
      <c r="G72" s="39">
        <f t="shared" si="8"/>
        <v>423.6736111111111</v>
      </c>
      <c r="H72" s="38">
        <v>7</v>
      </c>
      <c r="I72" s="7">
        <v>6.1</v>
      </c>
      <c r="J72" s="44">
        <v>1.6</v>
      </c>
      <c r="K72" s="6">
        <f t="shared" si="9"/>
        <v>4.375</v>
      </c>
      <c r="L72" s="40">
        <f t="shared" si="10"/>
        <v>0.22857142857142856</v>
      </c>
      <c r="M72" s="4" t="s">
        <v>158</v>
      </c>
      <c r="N72" s="32" t="s">
        <v>164</v>
      </c>
      <c r="O72" s="21" t="s">
        <v>181</v>
      </c>
      <c r="P72" s="130">
        <f t="shared" si="11"/>
        <v>-2.6195860789305554</v>
      </c>
    </row>
    <row r="73" spans="1:16" ht="12.75" customHeight="1">
      <c r="A73" s="3" t="s">
        <v>163</v>
      </c>
      <c r="B73" s="53">
        <f t="shared" si="12"/>
        <v>20.583333333333332</v>
      </c>
      <c r="C73" s="5">
        <v>8.3333</v>
      </c>
      <c r="E73" s="25">
        <v>4478</v>
      </c>
      <c r="F73" s="3">
        <f t="shared" si="7"/>
        <v>0.014943693634945607</v>
      </c>
      <c r="G73" s="39">
        <f t="shared" si="8"/>
        <v>423.6736111111111</v>
      </c>
      <c r="H73" s="38">
        <v>8.2</v>
      </c>
      <c r="I73" s="7">
        <v>7.1</v>
      </c>
      <c r="J73" s="46">
        <v>3.2</v>
      </c>
      <c r="K73" s="6">
        <f t="shared" si="9"/>
        <v>2.5624999999999996</v>
      </c>
      <c r="L73" s="40">
        <f t="shared" si="10"/>
        <v>0.39024390243902446</v>
      </c>
      <c r="M73" s="4" t="s">
        <v>158</v>
      </c>
      <c r="N73" s="32" t="s">
        <v>164</v>
      </c>
      <c r="O73" s="21" t="s">
        <v>181</v>
      </c>
      <c r="P73" s="130">
        <f t="shared" si="11"/>
        <v>-1.828470222130556</v>
      </c>
    </row>
    <row r="74" spans="1:16" ht="12.75" customHeight="1">
      <c r="A74" s="3" t="s">
        <v>163</v>
      </c>
      <c r="B74" s="53">
        <f t="shared" si="12"/>
        <v>20.583333333333332</v>
      </c>
      <c r="C74" s="5">
        <v>8.3333</v>
      </c>
      <c r="E74" s="25">
        <v>4478</v>
      </c>
      <c r="F74" s="3">
        <f t="shared" si="7"/>
        <v>0.014943693634945607</v>
      </c>
      <c r="G74" s="39">
        <f t="shared" si="8"/>
        <v>423.6736111111111</v>
      </c>
      <c r="H74" s="38">
        <v>8.6</v>
      </c>
      <c r="I74" s="7">
        <v>7.5</v>
      </c>
      <c r="J74" s="46">
        <v>5</v>
      </c>
      <c r="K74" s="6">
        <f t="shared" si="9"/>
        <v>1.72</v>
      </c>
      <c r="L74" s="40">
        <f t="shared" si="10"/>
        <v>0.5813953488372093</v>
      </c>
      <c r="M74" s="4" t="s">
        <v>158</v>
      </c>
      <c r="N74" s="32" t="s">
        <v>164</v>
      </c>
      <c r="O74" s="21" t="s">
        <v>181</v>
      </c>
      <c r="P74" s="130">
        <f t="shared" si="11"/>
        <v>-1.5647649365305556</v>
      </c>
    </row>
    <row r="75" spans="1:16" ht="12.75" customHeight="1">
      <c r="A75" s="3" t="s">
        <v>163</v>
      </c>
      <c r="B75" s="53">
        <f t="shared" si="12"/>
        <v>20.583333333333332</v>
      </c>
      <c r="C75" s="5">
        <v>8.3333</v>
      </c>
      <c r="E75" s="25">
        <v>4478</v>
      </c>
      <c r="F75" s="3">
        <f t="shared" si="7"/>
        <v>0.014943693634945607</v>
      </c>
      <c r="G75" s="39">
        <f t="shared" si="8"/>
        <v>423.6736111111111</v>
      </c>
      <c r="H75" s="38">
        <v>10</v>
      </c>
      <c r="I75" s="7">
        <v>8.7</v>
      </c>
      <c r="J75" s="46">
        <v>6.5</v>
      </c>
      <c r="K75" s="6">
        <f t="shared" si="9"/>
        <v>1.5384615384615385</v>
      </c>
      <c r="L75" s="40">
        <f t="shared" si="10"/>
        <v>0.6499999999999999</v>
      </c>
      <c r="M75" s="4" t="s">
        <v>158</v>
      </c>
      <c r="N75" s="32" t="s">
        <v>164</v>
      </c>
      <c r="O75" s="21" t="s">
        <v>181</v>
      </c>
      <c r="P75" s="130">
        <f t="shared" si="11"/>
        <v>-0.6417964369305551</v>
      </c>
    </row>
    <row r="76" spans="1:16" ht="12.75" customHeight="1">
      <c r="A76" s="3" t="s">
        <v>163</v>
      </c>
      <c r="B76" s="53">
        <f t="shared" si="12"/>
        <v>20.583333333333332</v>
      </c>
      <c r="C76" s="5">
        <v>8.3333</v>
      </c>
      <c r="E76" s="25">
        <v>4478</v>
      </c>
      <c r="F76" s="3">
        <f t="shared" si="7"/>
        <v>0.014943693634945607</v>
      </c>
      <c r="G76" s="39">
        <f t="shared" si="8"/>
        <v>423.6736111111111</v>
      </c>
      <c r="H76" s="38">
        <v>11.6</v>
      </c>
      <c r="I76" s="7">
        <v>10.1</v>
      </c>
      <c r="J76" s="46">
        <v>6.8</v>
      </c>
      <c r="K76" s="6">
        <f t="shared" si="9"/>
        <v>1.7058823529411764</v>
      </c>
      <c r="L76" s="40">
        <f t="shared" si="10"/>
        <v>0.5862068965517242</v>
      </c>
      <c r="M76" s="4" t="s">
        <v>158</v>
      </c>
      <c r="N76" s="32" t="s">
        <v>164</v>
      </c>
      <c r="O76" s="21" t="s">
        <v>181</v>
      </c>
      <c r="P76" s="130">
        <f t="shared" si="11"/>
        <v>0.4130247054694447</v>
      </c>
    </row>
    <row r="77" spans="1:16" ht="12.75" customHeight="1">
      <c r="A77" s="3" t="s">
        <v>163</v>
      </c>
      <c r="B77" s="53">
        <f t="shared" si="12"/>
        <v>20.583333333333332</v>
      </c>
      <c r="C77" s="5">
        <v>8.3333</v>
      </c>
      <c r="E77" s="25">
        <v>4478</v>
      </c>
      <c r="F77" s="3">
        <f t="shared" si="7"/>
        <v>0.014943693634945607</v>
      </c>
      <c r="G77" s="39">
        <f t="shared" si="8"/>
        <v>423.6736111111111</v>
      </c>
      <c r="H77" s="38">
        <v>18.9</v>
      </c>
      <c r="I77" s="7">
        <v>16.4</v>
      </c>
      <c r="J77" s="46">
        <v>7</v>
      </c>
      <c r="K77" s="6">
        <f t="shared" si="9"/>
        <v>2.6999999999999997</v>
      </c>
      <c r="L77" s="40">
        <f t="shared" si="10"/>
        <v>0.3703703703703704</v>
      </c>
      <c r="M77" s="4" t="s">
        <v>158</v>
      </c>
      <c r="N77" s="32" t="s">
        <v>164</v>
      </c>
      <c r="O77" s="21" t="s">
        <v>181</v>
      </c>
      <c r="P77" s="130">
        <f t="shared" si="11"/>
        <v>5.225646167669443</v>
      </c>
    </row>
    <row r="78" spans="1:16" ht="12.75" customHeight="1">
      <c r="A78" s="3" t="s">
        <v>163</v>
      </c>
      <c r="B78" s="53">
        <f t="shared" si="12"/>
        <v>20.583333333333332</v>
      </c>
      <c r="C78" s="5">
        <v>8.3333</v>
      </c>
      <c r="E78" s="25">
        <v>4478</v>
      </c>
      <c r="F78" s="3">
        <f t="shared" si="7"/>
        <v>0.014943693634945607</v>
      </c>
      <c r="G78" s="39">
        <f t="shared" si="8"/>
        <v>423.6736111111111</v>
      </c>
      <c r="H78" s="38">
        <v>27</v>
      </c>
      <c r="I78" s="7">
        <v>23.4</v>
      </c>
      <c r="J78" s="46">
        <v>8.2</v>
      </c>
      <c r="K78" s="6">
        <f t="shared" si="9"/>
        <v>3.2926829268292686</v>
      </c>
      <c r="L78" s="40">
        <f t="shared" si="10"/>
        <v>0.3037037037037037</v>
      </c>
      <c r="M78" s="4" t="s">
        <v>158</v>
      </c>
      <c r="N78" s="32" t="s">
        <v>164</v>
      </c>
      <c r="O78" s="21" t="s">
        <v>181</v>
      </c>
      <c r="P78" s="130">
        <f t="shared" si="11"/>
        <v>10.565678201069446</v>
      </c>
    </row>
    <row r="79" spans="1:16" ht="12.75" customHeight="1">
      <c r="A79" s="3" t="s">
        <v>163</v>
      </c>
      <c r="B79" s="53">
        <f t="shared" si="12"/>
        <v>20.583333333333332</v>
      </c>
      <c r="C79" s="5">
        <v>8.3333</v>
      </c>
      <c r="E79" s="25">
        <v>4478</v>
      </c>
      <c r="F79" s="3">
        <f t="shared" si="7"/>
        <v>0.014943693634945607</v>
      </c>
      <c r="G79" s="39">
        <f t="shared" si="8"/>
        <v>423.6736111111111</v>
      </c>
      <c r="H79" s="38">
        <v>32.4</v>
      </c>
      <c r="I79" s="7">
        <v>28.1</v>
      </c>
      <c r="J79" s="46">
        <v>9.7</v>
      </c>
      <c r="K79" s="6">
        <f t="shared" si="9"/>
        <v>3.3402061855670104</v>
      </c>
      <c r="L79" s="40">
        <f t="shared" si="10"/>
        <v>0.2993827160493827</v>
      </c>
      <c r="M79" s="4" t="s">
        <v>158</v>
      </c>
      <c r="N79" s="32" t="s">
        <v>164</v>
      </c>
      <c r="O79" s="21" t="s">
        <v>181</v>
      </c>
      <c r="P79" s="130">
        <f t="shared" si="11"/>
        <v>14.125699556669446</v>
      </c>
    </row>
    <row r="80" spans="1:16" ht="12.75" customHeight="1">
      <c r="A80" s="3" t="s">
        <v>163</v>
      </c>
      <c r="B80" s="53">
        <f t="shared" si="12"/>
        <v>20.583333333333332</v>
      </c>
      <c r="C80" s="5">
        <v>8.3333</v>
      </c>
      <c r="E80" s="25">
        <v>4478</v>
      </c>
      <c r="F80" s="3">
        <f t="shared" si="7"/>
        <v>0.014943693634945607</v>
      </c>
      <c r="G80" s="39">
        <f t="shared" si="8"/>
        <v>423.6736111111111</v>
      </c>
      <c r="H80" s="38">
        <v>36.9</v>
      </c>
      <c r="I80" s="7">
        <v>32</v>
      </c>
      <c r="J80" s="46">
        <v>12</v>
      </c>
      <c r="K80" s="6">
        <f t="shared" si="9"/>
        <v>3.0749999999999997</v>
      </c>
      <c r="L80" s="40">
        <f t="shared" si="10"/>
        <v>0.3252032520325204</v>
      </c>
      <c r="M80" s="4" t="s">
        <v>158</v>
      </c>
      <c r="N80" s="32" t="s">
        <v>164</v>
      </c>
      <c r="O80" s="21" t="s">
        <v>181</v>
      </c>
      <c r="P80" s="130">
        <f t="shared" si="11"/>
        <v>17.092384019669446</v>
      </c>
    </row>
    <row r="81" spans="1:16" ht="12.75" customHeight="1">
      <c r="A81" s="3" t="s">
        <v>163</v>
      </c>
      <c r="B81" s="53">
        <f t="shared" si="12"/>
        <v>20.583333333333332</v>
      </c>
      <c r="C81" s="5">
        <v>8.3333</v>
      </c>
      <c r="E81" s="25">
        <v>4478</v>
      </c>
      <c r="F81" s="3">
        <f t="shared" si="7"/>
        <v>0.014943693634945607</v>
      </c>
      <c r="G81" s="39">
        <f t="shared" si="8"/>
        <v>423.6736111111111</v>
      </c>
      <c r="H81" s="38">
        <v>40.9</v>
      </c>
      <c r="I81" s="7">
        <v>35.5</v>
      </c>
      <c r="J81" s="46">
        <v>16.4</v>
      </c>
      <c r="K81" s="6">
        <f t="shared" si="9"/>
        <v>2.4939024390243905</v>
      </c>
      <c r="L81" s="40">
        <f t="shared" si="10"/>
        <v>0.4009779951100244</v>
      </c>
      <c r="M81" s="4" t="s">
        <v>158</v>
      </c>
      <c r="N81" s="32" t="s">
        <v>164</v>
      </c>
      <c r="O81" s="21" t="s">
        <v>181</v>
      </c>
      <c r="P81" s="130">
        <f t="shared" si="11"/>
        <v>19.729436875669442</v>
      </c>
    </row>
    <row r="82" spans="1:16" ht="12.75" customHeight="1">
      <c r="A82" s="3" t="s">
        <v>163</v>
      </c>
      <c r="B82" s="53">
        <f t="shared" si="12"/>
        <v>20.583333333333332</v>
      </c>
      <c r="C82" s="5">
        <v>8.3333</v>
      </c>
      <c r="E82" s="25">
        <v>4478</v>
      </c>
      <c r="F82" s="3">
        <f t="shared" si="7"/>
        <v>0.014943693634945607</v>
      </c>
      <c r="G82" s="39">
        <f t="shared" si="8"/>
        <v>423.6736111111111</v>
      </c>
      <c r="H82" s="38">
        <v>45.5</v>
      </c>
      <c r="I82" s="7">
        <v>39.5</v>
      </c>
      <c r="J82" s="46">
        <v>20.8</v>
      </c>
      <c r="K82" s="6">
        <f t="shared" si="9"/>
        <v>2.1875</v>
      </c>
      <c r="L82" s="40">
        <f t="shared" si="10"/>
        <v>0.45714285714285713</v>
      </c>
      <c r="M82" s="4" t="s">
        <v>158</v>
      </c>
      <c r="N82" s="32" t="s">
        <v>164</v>
      </c>
      <c r="O82" s="21" t="s">
        <v>181</v>
      </c>
      <c r="P82" s="130">
        <f t="shared" si="11"/>
        <v>22.762047660069445</v>
      </c>
    </row>
    <row r="83" spans="1:16" ht="12.75" customHeight="1">
      <c r="A83" s="3" t="s">
        <v>163</v>
      </c>
      <c r="B83" s="53">
        <f t="shared" si="12"/>
        <v>20.583333333333332</v>
      </c>
      <c r="C83" s="5">
        <v>8.3333</v>
      </c>
      <c r="E83" s="25">
        <v>4478</v>
      </c>
      <c r="F83" s="3">
        <f t="shared" si="7"/>
        <v>0.014943693634945607</v>
      </c>
      <c r="G83" s="39">
        <f t="shared" si="8"/>
        <v>423.6736111111111</v>
      </c>
      <c r="H83" s="38">
        <v>47.7</v>
      </c>
      <c r="I83" s="7">
        <v>41.4</v>
      </c>
      <c r="J83" s="46">
        <v>20.8</v>
      </c>
      <c r="K83" s="6">
        <f t="shared" si="9"/>
        <v>2.293269230769231</v>
      </c>
      <c r="L83" s="40">
        <f t="shared" si="10"/>
        <v>0.4360587002096436</v>
      </c>
      <c r="M83" s="4" t="s">
        <v>158</v>
      </c>
      <c r="N83" s="32" t="s">
        <v>164</v>
      </c>
      <c r="O83" s="21" t="s">
        <v>181</v>
      </c>
      <c r="P83" s="130">
        <f t="shared" si="11"/>
        <v>24.212426730869446</v>
      </c>
    </row>
    <row r="84" spans="1:16" ht="12.75" customHeight="1">
      <c r="A84" s="3" t="s">
        <v>157</v>
      </c>
      <c r="B84" s="53">
        <f>22+5/12</f>
        <v>22.416666666666668</v>
      </c>
      <c r="C84" s="5">
        <v>8.5</v>
      </c>
      <c r="E84" s="25">
        <v>4084</v>
      </c>
      <c r="F84" s="3">
        <f t="shared" si="7"/>
        <v>0.015647938598110145</v>
      </c>
      <c r="G84" s="39">
        <f t="shared" si="8"/>
        <v>502.5069444444445</v>
      </c>
      <c r="H84" s="38">
        <v>2.5</v>
      </c>
      <c r="I84" s="7">
        <v>2.2</v>
      </c>
      <c r="J84" s="44">
        <v>0.3</v>
      </c>
      <c r="K84" s="6">
        <f t="shared" si="9"/>
        <v>8.333333333333334</v>
      </c>
      <c r="L84" s="40">
        <f t="shared" si="10"/>
        <v>0.12</v>
      </c>
      <c r="M84" s="4" t="s">
        <v>158</v>
      </c>
      <c r="N84" s="32" t="s">
        <v>159</v>
      </c>
      <c r="O84" s="21" t="s">
        <v>181</v>
      </c>
      <c r="P84" s="130">
        <f t="shared" si="11"/>
        <v>-4.2735206895972215</v>
      </c>
    </row>
    <row r="85" spans="1:16" ht="12.75" customHeight="1">
      <c r="A85" s="3" t="s">
        <v>157</v>
      </c>
      <c r="B85" s="53">
        <f aca="true" t="shared" si="13" ref="B85:B97">22+5/12</f>
        <v>22.416666666666668</v>
      </c>
      <c r="C85" s="5">
        <v>8.5</v>
      </c>
      <c r="E85" s="25">
        <v>4084</v>
      </c>
      <c r="F85" s="3">
        <f t="shared" si="7"/>
        <v>0.015647938598110145</v>
      </c>
      <c r="G85" s="39">
        <f t="shared" si="8"/>
        <v>502.5069444444445</v>
      </c>
      <c r="H85" s="38">
        <v>4.8</v>
      </c>
      <c r="I85" s="7">
        <v>4.2</v>
      </c>
      <c r="J85" s="44">
        <v>0.7</v>
      </c>
      <c r="K85" s="6">
        <f t="shared" si="9"/>
        <v>6.857142857142858</v>
      </c>
      <c r="L85" s="40">
        <f t="shared" si="10"/>
        <v>0.14583333333333331</v>
      </c>
      <c r="M85" s="4" t="s">
        <v>158</v>
      </c>
      <c r="N85" s="32" t="s">
        <v>159</v>
      </c>
      <c r="O85" s="21" t="s">
        <v>181</v>
      </c>
      <c r="P85" s="130">
        <f t="shared" si="11"/>
        <v>-2.7572152973972215</v>
      </c>
    </row>
    <row r="86" spans="1:16" ht="12.75" customHeight="1">
      <c r="A86" s="3" t="s">
        <v>157</v>
      </c>
      <c r="B86" s="53">
        <f t="shared" si="13"/>
        <v>22.416666666666668</v>
      </c>
      <c r="C86" s="5">
        <v>8.5</v>
      </c>
      <c r="E86" s="25">
        <v>4084</v>
      </c>
      <c r="F86" s="3">
        <f t="shared" si="7"/>
        <v>0.015647938598110145</v>
      </c>
      <c r="G86" s="39">
        <f t="shared" si="8"/>
        <v>502.5069444444445</v>
      </c>
      <c r="H86" s="38">
        <v>6.7</v>
      </c>
      <c r="I86" s="7">
        <v>5.8</v>
      </c>
      <c r="J86" s="44">
        <v>1.5</v>
      </c>
      <c r="K86" s="6">
        <f t="shared" si="9"/>
        <v>4.466666666666667</v>
      </c>
      <c r="L86" s="40">
        <f t="shared" si="10"/>
        <v>0.22388059701492538</v>
      </c>
      <c r="M86" s="4" t="s">
        <v>158</v>
      </c>
      <c r="N86" s="32" t="s">
        <v>159</v>
      </c>
      <c r="O86" s="21" t="s">
        <v>181</v>
      </c>
      <c r="P86" s="130">
        <f t="shared" si="11"/>
        <v>-1.504615190797221</v>
      </c>
    </row>
    <row r="87" spans="1:16" ht="12.75" customHeight="1">
      <c r="A87" s="3" t="s">
        <v>157</v>
      </c>
      <c r="B87" s="53">
        <f t="shared" si="13"/>
        <v>22.416666666666668</v>
      </c>
      <c r="C87" s="5">
        <v>8.5</v>
      </c>
      <c r="E87" s="25">
        <v>4084</v>
      </c>
      <c r="F87" s="3">
        <f t="shared" si="7"/>
        <v>0.015647938598110145</v>
      </c>
      <c r="G87" s="39">
        <f t="shared" si="8"/>
        <v>502.5069444444445</v>
      </c>
      <c r="H87" s="38">
        <v>8.2</v>
      </c>
      <c r="I87" s="7">
        <v>7.1</v>
      </c>
      <c r="J87" s="46">
        <v>2.7</v>
      </c>
      <c r="K87" s="6">
        <f t="shared" si="9"/>
        <v>3.0370370370370368</v>
      </c>
      <c r="L87" s="40">
        <f t="shared" si="10"/>
        <v>0.32926829268292684</v>
      </c>
      <c r="M87" s="4" t="s">
        <v>158</v>
      </c>
      <c r="N87" s="32" t="s">
        <v>159</v>
      </c>
      <c r="O87" s="21" t="s">
        <v>181</v>
      </c>
      <c r="P87" s="130">
        <f t="shared" si="11"/>
        <v>-0.5157203697972221</v>
      </c>
    </row>
    <row r="88" spans="1:16" ht="12.75" customHeight="1">
      <c r="A88" s="3" t="s">
        <v>157</v>
      </c>
      <c r="B88" s="53">
        <f t="shared" si="13"/>
        <v>22.416666666666668</v>
      </c>
      <c r="C88" s="5">
        <v>8.5</v>
      </c>
      <c r="E88" s="25">
        <v>4084</v>
      </c>
      <c r="F88" s="3">
        <f t="shared" si="7"/>
        <v>0.015647938598110145</v>
      </c>
      <c r="G88" s="39">
        <f t="shared" si="8"/>
        <v>502.5069444444445</v>
      </c>
      <c r="H88" s="38">
        <v>8.9</v>
      </c>
      <c r="I88" s="7">
        <v>7.7</v>
      </c>
      <c r="J88" s="46">
        <v>4.1</v>
      </c>
      <c r="K88" s="6">
        <f t="shared" si="9"/>
        <v>2.1707317073170733</v>
      </c>
      <c r="L88" s="40">
        <f t="shared" si="10"/>
        <v>0.46067415730337075</v>
      </c>
      <c r="M88" s="4" t="s">
        <v>158</v>
      </c>
      <c r="N88" s="32" t="s">
        <v>159</v>
      </c>
      <c r="O88" s="21" t="s">
        <v>181</v>
      </c>
      <c r="P88" s="130">
        <f t="shared" si="11"/>
        <v>-0.054236119997221444</v>
      </c>
    </row>
    <row r="89" spans="1:16" ht="12.75" customHeight="1">
      <c r="A89" s="3" t="s">
        <v>157</v>
      </c>
      <c r="B89" s="53">
        <f t="shared" si="13"/>
        <v>22.416666666666668</v>
      </c>
      <c r="C89" s="5">
        <v>8.5</v>
      </c>
      <c r="E89" s="25">
        <v>4084</v>
      </c>
      <c r="F89" s="3">
        <f t="shared" si="7"/>
        <v>0.015647938598110145</v>
      </c>
      <c r="G89" s="39">
        <f t="shared" si="8"/>
        <v>502.5069444444445</v>
      </c>
      <c r="H89" s="38">
        <v>10.2</v>
      </c>
      <c r="I89" s="7">
        <v>8.9</v>
      </c>
      <c r="J89" s="46">
        <v>4.8</v>
      </c>
      <c r="K89" s="6">
        <f t="shared" si="9"/>
        <v>2.125</v>
      </c>
      <c r="L89" s="40">
        <f t="shared" si="10"/>
        <v>0.47058823529411764</v>
      </c>
      <c r="M89" s="4" t="s">
        <v>158</v>
      </c>
      <c r="N89" s="32" t="s">
        <v>159</v>
      </c>
      <c r="O89" s="21" t="s">
        <v>181</v>
      </c>
      <c r="P89" s="130">
        <f t="shared" si="11"/>
        <v>0.8028060582027781</v>
      </c>
    </row>
    <row r="90" spans="1:16" ht="12.75" customHeight="1">
      <c r="A90" s="3" t="s">
        <v>157</v>
      </c>
      <c r="B90" s="53">
        <f t="shared" si="13"/>
        <v>22.416666666666668</v>
      </c>
      <c r="C90" s="5">
        <v>8.5</v>
      </c>
      <c r="E90" s="25">
        <v>4084</v>
      </c>
      <c r="F90" s="3">
        <f t="shared" si="7"/>
        <v>0.015647938598110145</v>
      </c>
      <c r="G90" s="39">
        <f t="shared" si="8"/>
        <v>502.5069444444445</v>
      </c>
      <c r="H90" s="38">
        <v>13.6</v>
      </c>
      <c r="I90" s="7">
        <v>11.8</v>
      </c>
      <c r="J90" s="46">
        <v>5.6</v>
      </c>
      <c r="K90" s="6">
        <f t="shared" si="9"/>
        <v>2.428571428571429</v>
      </c>
      <c r="L90" s="40">
        <f t="shared" si="10"/>
        <v>0.4117647058823529</v>
      </c>
      <c r="M90" s="4" t="s">
        <v>158</v>
      </c>
      <c r="N90" s="32" t="s">
        <v>159</v>
      </c>
      <c r="O90" s="21" t="s">
        <v>181</v>
      </c>
      <c r="P90" s="130">
        <f t="shared" si="11"/>
        <v>3.044300985802778</v>
      </c>
    </row>
    <row r="91" spans="1:16" ht="12.75" customHeight="1">
      <c r="A91" s="3" t="s">
        <v>157</v>
      </c>
      <c r="B91" s="53">
        <f t="shared" si="13"/>
        <v>22.416666666666668</v>
      </c>
      <c r="C91" s="5">
        <v>8.5</v>
      </c>
      <c r="E91" s="25">
        <v>4084</v>
      </c>
      <c r="F91" s="3">
        <f t="shared" si="7"/>
        <v>0.015647938598110145</v>
      </c>
      <c r="G91" s="39">
        <f t="shared" si="8"/>
        <v>502.5069444444445</v>
      </c>
      <c r="H91" s="38">
        <v>18.3</v>
      </c>
      <c r="I91" s="7">
        <v>15.9</v>
      </c>
      <c r="J91" s="46">
        <v>5.3</v>
      </c>
      <c r="K91" s="6">
        <f t="shared" si="9"/>
        <v>3.4528301886792456</v>
      </c>
      <c r="L91" s="40">
        <f t="shared" si="10"/>
        <v>0.2896174863387978</v>
      </c>
      <c r="M91" s="4" t="s">
        <v>158</v>
      </c>
      <c r="N91" s="32" t="s">
        <v>159</v>
      </c>
      <c r="O91" s="21" t="s">
        <v>181</v>
      </c>
      <c r="P91" s="130">
        <f t="shared" si="11"/>
        <v>6.142838091602778</v>
      </c>
    </row>
    <row r="92" spans="1:16" ht="12.75" customHeight="1">
      <c r="A92" s="3" t="s">
        <v>157</v>
      </c>
      <c r="B92" s="53">
        <f t="shared" si="13"/>
        <v>22.416666666666668</v>
      </c>
      <c r="C92" s="5">
        <v>8.5</v>
      </c>
      <c r="E92" s="25">
        <v>4084</v>
      </c>
      <c r="F92" s="3">
        <f t="shared" si="7"/>
        <v>0.015647938598110145</v>
      </c>
      <c r="G92" s="39">
        <f t="shared" si="8"/>
        <v>502.5069444444445</v>
      </c>
      <c r="H92" s="38">
        <v>25.2</v>
      </c>
      <c r="I92" s="7">
        <v>21.9</v>
      </c>
      <c r="J92" s="46">
        <v>5.8</v>
      </c>
      <c r="K92" s="6">
        <f t="shared" si="9"/>
        <v>4.344827586206897</v>
      </c>
      <c r="L92" s="40">
        <f t="shared" si="10"/>
        <v>0.23015873015873015</v>
      </c>
      <c r="M92" s="4" t="s">
        <v>158</v>
      </c>
      <c r="N92" s="32" t="s">
        <v>159</v>
      </c>
      <c r="O92" s="21" t="s">
        <v>181</v>
      </c>
      <c r="P92" s="130">
        <f t="shared" si="11"/>
        <v>10.691754268202779</v>
      </c>
    </row>
    <row r="93" spans="1:16" ht="12.75" customHeight="1">
      <c r="A93" s="3" t="s">
        <v>157</v>
      </c>
      <c r="B93" s="53">
        <f t="shared" si="13"/>
        <v>22.416666666666668</v>
      </c>
      <c r="C93" s="5">
        <v>8.5</v>
      </c>
      <c r="E93" s="25">
        <v>4084</v>
      </c>
      <c r="F93" s="3">
        <f t="shared" si="7"/>
        <v>0.015647938598110145</v>
      </c>
      <c r="G93" s="39">
        <f t="shared" si="8"/>
        <v>502.5069444444445</v>
      </c>
      <c r="H93" s="38">
        <v>32</v>
      </c>
      <c r="I93" s="7">
        <v>27.8</v>
      </c>
      <c r="J93" s="46">
        <v>8.1</v>
      </c>
      <c r="K93" s="6">
        <f t="shared" si="9"/>
        <v>3.9506172839506175</v>
      </c>
      <c r="L93" s="40">
        <f t="shared" si="10"/>
        <v>0.253125</v>
      </c>
      <c r="M93" s="4" t="s">
        <v>158</v>
      </c>
      <c r="N93" s="32" t="s">
        <v>159</v>
      </c>
      <c r="O93" s="21" t="s">
        <v>181</v>
      </c>
      <c r="P93" s="130">
        <f t="shared" si="11"/>
        <v>15.174744123402778</v>
      </c>
    </row>
    <row r="94" spans="1:16" ht="12.75" customHeight="1">
      <c r="A94" s="3" t="s">
        <v>157</v>
      </c>
      <c r="B94" s="53">
        <f t="shared" si="13"/>
        <v>22.416666666666668</v>
      </c>
      <c r="C94" s="5">
        <v>8.5</v>
      </c>
      <c r="E94" s="25">
        <v>4084</v>
      </c>
      <c r="F94" s="3">
        <f t="shared" si="7"/>
        <v>0.015647938598110145</v>
      </c>
      <c r="G94" s="39">
        <f t="shared" si="8"/>
        <v>502.5069444444445</v>
      </c>
      <c r="H94" s="38">
        <v>36.1</v>
      </c>
      <c r="I94" s="7">
        <v>31.3</v>
      </c>
      <c r="J94" s="46">
        <v>10.7</v>
      </c>
      <c r="K94" s="6">
        <f t="shared" si="9"/>
        <v>3.373831775700935</v>
      </c>
      <c r="L94" s="40">
        <f t="shared" si="10"/>
        <v>0.29639889196675895</v>
      </c>
      <c r="M94" s="4" t="s">
        <v>158</v>
      </c>
      <c r="N94" s="32" t="s">
        <v>159</v>
      </c>
      <c r="O94" s="21" t="s">
        <v>181</v>
      </c>
      <c r="P94" s="130">
        <f t="shared" si="11"/>
        <v>17.877723300802778</v>
      </c>
    </row>
    <row r="95" spans="1:16" ht="12.75" customHeight="1">
      <c r="A95" s="3" t="s">
        <v>157</v>
      </c>
      <c r="B95" s="53">
        <f t="shared" si="13"/>
        <v>22.416666666666668</v>
      </c>
      <c r="C95" s="5">
        <v>8.5</v>
      </c>
      <c r="E95" s="25">
        <v>4084</v>
      </c>
      <c r="F95" s="3">
        <f t="shared" si="7"/>
        <v>0.015647938598110145</v>
      </c>
      <c r="G95" s="39">
        <f t="shared" si="8"/>
        <v>502.5069444444445</v>
      </c>
      <c r="H95" s="38">
        <v>40.8</v>
      </c>
      <c r="I95" s="7">
        <v>35.4</v>
      </c>
      <c r="J95" s="46">
        <v>16.3</v>
      </c>
      <c r="K95" s="6">
        <f t="shared" si="9"/>
        <v>2.5030674846625764</v>
      </c>
      <c r="L95" s="40">
        <f t="shared" si="10"/>
        <v>0.39950980392156865</v>
      </c>
      <c r="M95" s="4" t="s">
        <v>158</v>
      </c>
      <c r="N95" s="32" t="s">
        <v>159</v>
      </c>
      <c r="O95" s="21" t="s">
        <v>181</v>
      </c>
      <c r="P95" s="130">
        <f t="shared" si="11"/>
        <v>20.976260406602776</v>
      </c>
    </row>
    <row r="96" spans="1:16" ht="12.75" customHeight="1">
      <c r="A96" s="3" t="s">
        <v>157</v>
      </c>
      <c r="B96" s="53">
        <f t="shared" si="13"/>
        <v>22.416666666666668</v>
      </c>
      <c r="C96" s="5">
        <v>8.5</v>
      </c>
      <c r="E96" s="25">
        <v>4084</v>
      </c>
      <c r="F96" s="3">
        <f t="shared" si="7"/>
        <v>0.015647938598110145</v>
      </c>
      <c r="G96" s="39">
        <f t="shared" si="8"/>
        <v>502.5069444444445</v>
      </c>
      <c r="H96" s="38">
        <v>45.7</v>
      </c>
      <c r="I96" s="7">
        <v>39.7</v>
      </c>
      <c r="J96" s="46">
        <v>21.2</v>
      </c>
      <c r="K96" s="6">
        <f t="shared" si="9"/>
        <v>2.155660377358491</v>
      </c>
      <c r="L96" s="40">
        <f t="shared" si="10"/>
        <v>0.4638949671772428</v>
      </c>
      <c r="M96" s="4" t="s">
        <v>158</v>
      </c>
      <c r="N96" s="32" t="s">
        <v>159</v>
      </c>
      <c r="O96" s="21" t="s">
        <v>181</v>
      </c>
      <c r="P96" s="130">
        <f t="shared" si="11"/>
        <v>24.20665015520278</v>
      </c>
    </row>
    <row r="97" spans="1:16" ht="12.75" customHeight="1">
      <c r="A97" s="3" t="s">
        <v>157</v>
      </c>
      <c r="B97" s="53">
        <f t="shared" si="13"/>
        <v>22.416666666666668</v>
      </c>
      <c r="C97" s="5">
        <v>8.5</v>
      </c>
      <c r="E97" s="25">
        <v>4084</v>
      </c>
      <c r="F97" s="3">
        <f t="shared" si="7"/>
        <v>0.015647938598110145</v>
      </c>
      <c r="G97" s="39">
        <f t="shared" si="8"/>
        <v>502.5069444444445</v>
      </c>
      <c r="H97" s="38">
        <v>47.5</v>
      </c>
      <c r="I97" s="7">
        <v>41.2</v>
      </c>
      <c r="J97" s="46">
        <v>21.2</v>
      </c>
      <c r="K97" s="6">
        <f t="shared" si="9"/>
        <v>2.240566037735849</v>
      </c>
      <c r="L97" s="40">
        <f t="shared" si="10"/>
        <v>0.4463157894736842</v>
      </c>
      <c r="M97" s="4" t="s">
        <v>158</v>
      </c>
      <c r="N97" s="32" t="s">
        <v>159</v>
      </c>
      <c r="O97" s="21" t="s">
        <v>181</v>
      </c>
      <c r="P97" s="130">
        <f t="shared" si="11"/>
        <v>25.393323940402777</v>
      </c>
    </row>
    <row r="98" spans="1:16" ht="12.75" customHeight="1">
      <c r="A98" s="1" t="s">
        <v>110</v>
      </c>
      <c r="B98" s="53">
        <v>23</v>
      </c>
      <c r="C98" s="5">
        <v>8.5</v>
      </c>
      <c r="E98" s="25">
        <v>2900</v>
      </c>
      <c r="F98" s="3">
        <f t="shared" si="7"/>
        <v>0.018569533817705187</v>
      </c>
      <c r="G98" s="39">
        <f t="shared" si="8"/>
        <v>529</v>
      </c>
      <c r="H98" s="37">
        <v>27</v>
      </c>
      <c r="I98" s="14"/>
      <c r="J98" s="46">
        <v>8.8</v>
      </c>
      <c r="K98" s="6">
        <f t="shared" si="9"/>
        <v>3.068181818181818</v>
      </c>
      <c r="L98" s="40">
        <f t="shared" si="10"/>
        <v>0.32592592592592595</v>
      </c>
      <c r="M98" s="2" t="s">
        <v>111</v>
      </c>
      <c r="N98" s="29" t="s">
        <v>115</v>
      </c>
      <c r="O98" s="23" t="s">
        <v>109</v>
      </c>
      <c r="P98" s="130">
        <f t="shared" si="11"/>
        <v>12.31959619</v>
      </c>
    </row>
    <row r="99" spans="1:16" ht="12.75" customHeight="1">
      <c r="A99" s="3" t="s">
        <v>78</v>
      </c>
      <c r="B99" s="55">
        <v>25</v>
      </c>
      <c r="C99" s="6">
        <v>8.5</v>
      </c>
      <c r="D99" s="6">
        <v>2</v>
      </c>
      <c r="E99" s="25">
        <v>5000</v>
      </c>
      <c r="F99" s="3">
        <f t="shared" si="7"/>
        <v>0.01414213562373095</v>
      </c>
      <c r="G99" s="39">
        <f t="shared" si="8"/>
        <v>625</v>
      </c>
      <c r="H99" s="36">
        <v>14</v>
      </c>
      <c r="I99" s="14"/>
      <c r="J99" s="46">
        <v>3</v>
      </c>
      <c r="K99" s="6">
        <f t="shared" si="9"/>
        <v>4.666666666666667</v>
      </c>
      <c r="L99" s="40">
        <f t="shared" si="10"/>
        <v>0.21428571428571427</v>
      </c>
      <c r="M99" s="3" t="s">
        <v>77</v>
      </c>
      <c r="N99" s="29" t="s">
        <v>143</v>
      </c>
      <c r="O99" s="23" t="s">
        <v>76</v>
      </c>
      <c r="P99" s="130">
        <f t="shared" si="11"/>
        <v>5.347787336</v>
      </c>
    </row>
    <row r="100" spans="1:16" ht="12.75" customHeight="1">
      <c r="A100" s="3" t="s">
        <v>78</v>
      </c>
      <c r="B100" s="55">
        <v>25</v>
      </c>
      <c r="C100" s="6">
        <v>8.5</v>
      </c>
      <c r="D100" s="6">
        <v>2</v>
      </c>
      <c r="E100" s="25">
        <v>5000</v>
      </c>
      <c r="F100" s="3">
        <f t="shared" si="7"/>
        <v>0.01414213562373095</v>
      </c>
      <c r="G100" s="39">
        <f t="shared" si="8"/>
        <v>625</v>
      </c>
      <c r="H100" s="36">
        <v>23</v>
      </c>
      <c r="I100" s="14"/>
      <c r="J100" s="46">
        <v>6.3</v>
      </c>
      <c r="K100" s="6">
        <f aca="true" t="shared" si="14" ref="K100:K112">H100/J100</f>
        <v>3.6507936507936507</v>
      </c>
      <c r="L100" s="40">
        <f t="shared" si="10"/>
        <v>0.2739130434782609</v>
      </c>
      <c r="M100" s="3" t="s">
        <v>77</v>
      </c>
      <c r="N100" s="29" t="s">
        <v>143</v>
      </c>
      <c r="O100" s="23" t="s">
        <v>76</v>
      </c>
      <c r="P100" s="130">
        <f t="shared" si="11"/>
        <v>11.281156262</v>
      </c>
    </row>
    <row r="101" spans="1:16" ht="12.75" customHeight="1">
      <c r="A101" s="3" t="s">
        <v>78</v>
      </c>
      <c r="B101" s="55">
        <v>25</v>
      </c>
      <c r="C101" s="6">
        <v>8.5</v>
      </c>
      <c r="D101" s="6">
        <v>2</v>
      </c>
      <c r="E101" s="25">
        <v>5000</v>
      </c>
      <c r="F101" s="3">
        <f t="shared" si="7"/>
        <v>0.01414213562373095</v>
      </c>
      <c r="G101" s="39">
        <f t="shared" si="8"/>
        <v>625</v>
      </c>
      <c r="H101" s="36">
        <v>32</v>
      </c>
      <c r="I101" s="14"/>
      <c r="J101" s="46">
        <v>10.5</v>
      </c>
      <c r="K101" s="6">
        <f t="shared" si="14"/>
        <v>3.0476190476190474</v>
      </c>
      <c r="L101" s="40">
        <f t="shared" si="10"/>
        <v>0.328125</v>
      </c>
      <c r="M101" s="3" t="s">
        <v>77</v>
      </c>
      <c r="N101" s="29" t="s">
        <v>143</v>
      </c>
      <c r="O101" s="23" t="s">
        <v>76</v>
      </c>
      <c r="P101" s="130">
        <f t="shared" si="11"/>
        <v>17.214525188</v>
      </c>
    </row>
    <row r="102" spans="1:16" ht="12.75" customHeight="1">
      <c r="A102" s="3" t="s">
        <v>178</v>
      </c>
      <c r="B102" s="53">
        <v>25.416666666666668</v>
      </c>
      <c r="C102" s="5">
        <v>8.5</v>
      </c>
      <c r="E102" s="25">
        <v>6000</v>
      </c>
      <c r="F102" s="3">
        <f t="shared" si="7"/>
        <v>0.012909944487358056</v>
      </c>
      <c r="G102" s="39">
        <f t="shared" si="8"/>
        <v>646.0069444444445</v>
      </c>
      <c r="H102" s="38">
        <v>5.3</v>
      </c>
      <c r="I102" s="7"/>
      <c r="J102" s="44">
        <v>1.3</v>
      </c>
      <c r="K102" s="6">
        <f t="shared" si="14"/>
        <v>4.076923076923077</v>
      </c>
      <c r="L102" s="40">
        <f t="shared" si="10"/>
        <v>0.24528301886792456</v>
      </c>
      <c r="M102" s="4" t="s">
        <v>179</v>
      </c>
      <c r="N102" s="32" t="s">
        <v>182</v>
      </c>
      <c r="O102" s="23" t="s">
        <v>180</v>
      </c>
      <c r="P102" s="130">
        <f t="shared" si="11"/>
        <v>-0.03799040739722148</v>
      </c>
    </row>
    <row r="103" spans="1:16" ht="12.75" customHeight="1">
      <c r="A103" s="3" t="s">
        <v>178</v>
      </c>
      <c r="B103" s="53">
        <v>25.416666666666668</v>
      </c>
      <c r="C103" s="5">
        <v>8.5</v>
      </c>
      <c r="E103" s="25">
        <v>6000</v>
      </c>
      <c r="F103" s="3">
        <f t="shared" si="7"/>
        <v>0.012909944487358056</v>
      </c>
      <c r="G103" s="39">
        <f t="shared" si="8"/>
        <v>646.0069444444445</v>
      </c>
      <c r="H103" s="38">
        <v>7.4</v>
      </c>
      <c r="I103" s="7"/>
      <c r="J103" s="46">
        <v>2.1</v>
      </c>
      <c r="K103" s="6">
        <f t="shared" si="14"/>
        <v>3.5238095238095237</v>
      </c>
      <c r="L103" s="40">
        <f t="shared" si="10"/>
        <v>0.28378378378378377</v>
      </c>
      <c r="M103" s="4" t="s">
        <v>179</v>
      </c>
      <c r="N103" s="32" t="s">
        <v>182</v>
      </c>
      <c r="O103" s="23" t="s">
        <v>180</v>
      </c>
      <c r="P103" s="130">
        <f t="shared" si="11"/>
        <v>1.3464623420027788</v>
      </c>
    </row>
    <row r="104" spans="1:16" ht="12.75" customHeight="1">
      <c r="A104" s="3" t="s">
        <v>178</v>
      </c>
      <c r="B104" s="53">
        <v>25.416666666666668</v>
      </c>
      <c r="C104" s="5">
        <v>8.5</v>
      </c>
      <c r="E104" s="25">
        <v>6000</v>
      </c>
      <c r="F104" s="3">
        <f t="shared" si="7"/>
        <v>0.012909944487358056</v>
      </c>
      <c r="G104" s="39">
        <f t="shared" si="8"/>
        <v>646.0069444444445</v>
      </c>
      <c r="H104" s="38">
        <v>8.5</v>
      </c>
      <c r="I104" s="7"/>
      <c r="J104" s="46">
        <v>3</v>
      </c>
      <c r="K104" s="6">
        <f t="shared" si="14"/>
        <v>2.8333333333333335</v>
      </c>
      <c r="L104" s="40">
        <f t="shared" si="10"/>
        <v>0.3529411764705882</v>
      </c>
      <c r="M104" s="4" t="s">
        <v>179</v>
      </c>
      <c r="N104" s="32" t="s">
        <v>182</v>
      </c>
      <c r="O104" s="23" t="s">
        <v>180</v>
      </c>
      <c r="P104" s="130">
        <f t="shared" si="11"/>
        <v>2.071651877402778</v>
      </c>
    </row>
    <row r="105" spans="1:16" ht="12.75" customHeight="1">
      <c r="A105" s="3" t="s">
        <v>178</v>
      </c>
      <c r="B105" s="53">
        <v>25.416666666666668</v>
      </c>
      <c r="C105" s="5">
        <v>8.5</v>
      </c>
      <c r="E105" s="25">
        <v>6000</v>
      </c>
      <c r="F105" s="3">
        <f t="shared" si="7"/>
        <v>0.012909944487358056</v>
      </c>
      <c r="G105" s="39">
        <f t="shared" si="8"/>
        <v>646.0069444444445</v>
      </c>
      <c r="H105" s="38">
        <v>10.2</v>
      </c>
      <c r="I105" s="7"/>
      <c r="J105" s="46">
        <v>5.1</v>
      </c>
      <c r="K105" s="6">
        <f t="shared" si="14"/>
        <v>2</v>
      </c>
      <c r="L105" s="40">
        <f t="shared" si="10"/>
        <v>0.5</v>
      </c>
      <c r="M105" s="4" t="s">
        <v>179</v>
      </c>
      <c r="N105" s="32" t="s">
        <v>182</v>
      </c>
      <c r="O105" s="23" t="s">
        <v>180</v>
      </c>
      <c r="P105" s="130">
        <f t="shared" si="11"/>
        <v>3.192399341202778</v>
      </c>
    </row>
    <row r="106" spans="1:16" ht="12.75" customHeight="1">
      <c r="A106" s="3" t="s">
        <v>178</v>
      </c>
      <c r="B106" s="53">
        <v>25.416666666666668</v>
      </c>
      <c r="C106" s="5">
        <v>8.5</v>
      </c>
      <c r="E106" s="25">
        <v>6000</v>
      </c>
      <c r="F106" s="3">
        <f t="shared" si="7"/>
        <v>0.012909944487358056</v>
      </c>
      <c r="G106" s="39">
        <f t="shared" si="8"/>
        <v>646.0069444444445</v>
      </c>
      <c r="H106" s="38">
        <v>14.9</v>
      </c>
      <c r="I106" s="7"/>
      <c r="J106" s="46">
        <v>8.5</v>
      </c>
      <c r="K106" s="6">
        <f t="shared" si="14"/>
        <v>1.7529411764705882</v>
      </c>
      <c r="L106" s="40">
        <f t="shared" si="10"/>
        <v>0.5704697986577181</v>
      </c>
      <c r="M106" s="4" t="s">
        <v>179</v>
      </c>
      <c r="N106" s="32" t="s">
        <v>182</v>
      </c>
      <c r="O106" s="23" t="s">
        <v>180</v>
      </c>
      <c r="P106" s="130">
        <f t="shared" si="11"/>
        <v>6.290936447002778</v>
      </c>
    </row>
    <row r="107" spans="1:16" ht="12.75" customHeight="1">
      <c r="A107" s="3" t="s">
        <v>178</v>
      </c>
      <c r="B107" s="53">
        <v>25.416666666666668</v>
      </c>
      <c r="C107" s="5">
        <v>8.5</v>
      </c>
      <c r="E107" s="25">
        <v>6000</v>
      </c>
      <c r="F107" s="3">
        <f t="shared" si="7"/>
        <v>0.012909944487358056</v>
      </c>
      <c r="G107" s="39">
        <f t="shared" si="8"/>
        <v>646.0069444444445</v>
      </c>
      <c r="H107" s="38">
        <v>20.5</v>
      </c>
      <c r="I107" s="7"/>
      <c r="J107" s="46">
        <v>10.6</v>
      </c>
      <c r="K107" s="6">
        <f t="shared" si="14"/>
        <v>1.9339622641509435</v>
      </c>
      <c r="L107" s="40">
        <f t="shared" si="10"/>
        <v>0.5170731707317073</v>
      </c>
      <c r="M107" s="4" t="s">
        <v>179</v>
      </c>
      <c r="N107" s="32" t="s">
        <v>182</v>
      </c>
      <c r="O107" s="23" t="s">
        <v>180</v>
      </c>
      <c r="P107" s="130">
        <f t="shared" si="11"/>
        <v>9.982810445402778</v>
      </c>
    </row>
    <row r="108" spans="1:16" ht="12.75" customHeight="1">
      <c r="A108" s="3" t="s">
        <v>178</v>
      </c>
      <c r="B108" s="53">
        <v>25.416666666666668</v>
      </c>
      <c r="C108" s="5">
        <v>8.5</v>
      </c>
      <c r="E108" s="25">
        <v>6000</v>
      </c>
      <c r="F108" s="3">
        <f t="shared" si="7"/>
        <v>0.012909944487358056</v>
      </c>
      <c r="G108" s="39">
        <f t="shared" si="8"/>
        <v>646.0069444444445</v>
      </c>
      <c r="H108" s="38">
        <v>26</v>
      </c>
      <c r="I108" s="7"/>
      <c r="J108" s="46">
        <v>13.5</v>
      </c>
      <c r="K108" s="6">
        <f t="shared" si="14"/>
        <v>1.9259259259259258</v>
      </c>
      <c r="L108" s="40">
        <f t="shared" si="10"/>
        <v>0.5192307692307693</v>
      </c>
      <c r="M108" s="4" t="s">
        <v>179</v>
      </c>
      <c r="N108" s="32" t="s">
        <v>182</v>
      </c>
      <c r="O108" s="23" t="s">
        <v>180</v>
      </c>
      <c r="P108" s="130">
        <f t="shared" si="11"/>
        <v>13.60875812240278</v>
      </c>
    </row>
    <row r="109" spans="1:16" ht="12.75" customHeight="1">
      <c r="A109" s="3" t="s">
        <v>178</v>
      </c>
      <c r="B109" s="53">
        <v>25.416666666666668</v>
      </c>
      <c r="C109" s="5">
        <v>8.5</v>
      </c>
      <c r="E109" s="25">
        <v>6000</v>
      </c>
      <c r="F109" s="3">
        <f t="shared" si="7"/>
        <v>0.012909944487358056</v>
      </c>
      <c r="G109" s="39">
        <f t="shared" si="8"/>
        <v>646.0069444444445</v>
      </c>
      <c r="H109" s="38">
        <v>33.1</v>
      </c>
      <c r="I109" s="7"/>
      <c r="J109" s="46">
        <v>13</v>
      </c>
      <c r="K109" s="6">
        <f t="shared" si="14"/>
        <v>2.5461538461538464</v>
      </c>
      <c r="L109" s="40">
        <f t="shared" si="10"/>
        <v>0.3927492447129909</v>
      </c>
      <c r="M109" s="4" t="s">
        <v>179</v>
      </c>
      <c r="N109" s="32" t="s">
        <v>182</v>
      </c>
      <c r="O109" s="23" t="s">
        <v>180</v>
      </c>
      <c r="P109" s="130">
        <f t="shared" si="11"/>
        <v>18.28952694180278</v>
      </c>
    </row>
    <row r="110" spans="1:16" ht="12.75" customHeight="1">
      <c r="A110" s="3" t="s">
        <v>178</v>
      </c>
      <c r="B110" s="53">
        <v>25.416666666666668</v>
      </c>
      <c r="C110" s="5">
        <v>8.5</v>
      </c>
      <c r="E110" s="25">
        <v>6000</v>
      </c>
      <c r="F110" s="3">
        <f t="shared" si="7"/>
        <v>0.012909944487358056</v>
      </c>
      <c r="G110" s="39">
        <f t="shared" si="8"/>
        <v>646.0069444444445</v>
      </c>
      <c r="H110" s="38">
        <v>37</v>
      </c>
      <c r="I110" s="7"/>
      <c r="J110" s="46">
        <v>18</v>
      </c>
      <c r="K110" s="6">
        <f t="shared" si="14"/>
        <v>2.0555555555555554</v>
      </c>
      <c r="L110" s="40">
        <f t="shared" si="10"/>
        <v>0.4864864864864865</v>
      </c>
      <c r="M110" s="4" t="s">
        <v>179</v>
      </c>
      <c r="N110" s="32" t="s">
        <v>182</v>
      </c>
      <c r="O110" s="23" t="s">
        <v>180</v>
      </c>
      <c r="P110" s="130">
        <f t="shared" si="11"/>
        <v>20.860653476402778</v>
      </c>
    </row>
    <row r="111" spans="1:16" ht="12.75" customHeight="1">
      <c r="A111" s="3" t="s">
        <v>178</v>
      </c>
      <c r="B111" s="53">
        <v>25.416666666666668</v>
      </c>
      <c r="C111" s="5">
        <v>8.5</v>
      </c>
      <c r="E111" s="25">
        <v>6000</v>
      </c>
      <c r="F111" s="3">
        <f t="shared" si="7"/>
        <v>0.012909944487358056</v>
      </c>
      <c r="G111" s="39">
        <f t="shared" si="8"/>
        <v>646.0069444444445</v>
      </c>
      <c r="H111" s="38">
        <v>40.7</v>
      </c>
      <c r="I111" s="7"/>
      <c r="J111" s="46">
        <v>26.8</v>
      </c>
      <c r="K111" s="6">
        <f t="shared" si="14"/>
        <v>1.5186567164179106</v>
      </c>
      <c r="L111" s="40">
        <f t="shared" si="10"/>
        <v>0.6584766584766585</v>
      </c>
      <c r="M111" s="4" t="s">
        <v>179</v>
      </c>
      <c r="N111" s="32" t="s">
        <v>182</v>
      </c>
      <c r="O111" s="23" t="s">
        <v>180</v>
      </c>
      <c r="P111" s="130">
        <f t="shared" si="11"/>
        <v>23.29992736820278</v>
      </c>
    </row>
    <row r="112" spans="1:16" ht="13.5">
      <c r="A112" s="3" t="s">
        <v>178</v>
      </c>
      <c r="B112" s="53">
        <v>25.416666666666668</v>
      </c>
      <c r="C112" s="5">
        <v>8.5</v>
      </c>
      <c r="E112" s="25">
        <v>6000</v>
      </c>
      <c r="F112" s="3">
        <f t="shared" si="7"/>
        <v>0.012909944487358056</v>
      </c>
      <c r="G112" s="39">
        <f t="shared" si="8"/>
        <v>646.0069444444445</v>
      </c>
      <c r="H112" s="38">
        <v>45</v>
      </c>
      <c r="I112" s="7"/>
      <c r="J112" s="46">
        <v>30.3</v>
      </c>
      <c r="K112" s="6">
        <f t="shared" si="14"/>
        <v>1.4851485148514851</v>
      </c>
      <c r="L112" s="40">
        <f t="shared" si="10"/>
        <v>0.6733333333333333</v>
      </c>
      <c r="M112" s="4" t="s">
        <v>179</v>
      </c>
      <c r="N112" s="32" t="s">
        <v>182</v>
      </c>
      <c r="O112" s="23" t="s">
        <v>180</v>
      </c>
      <c r="P112" s="130">
        <f t="shared" si="11"/>
        <v>26.13475918840278</v>
      </c>
    </row>
    <row r="113" spans="1:16" ht="13.5">
      <c r="A113" s="3" t="s">
        <v>88</v>
      </c>
      <c r="B113" s="55">
        <f>25+11/12</f>
        <v>25.916666666666668</v>
      </c>
      <c r="C113" s="6">
        <v>8</v>
      </c>
      <c r="D113" s="6">
        <v>3</v>
      </c>
      <c r="E113" s="25">
        <v>5049</v>
      </c>
      <c r="F113" s="3">
        <f t="shared" si="7"/>
        <v>0.01407334436402497</v>
      </c>
      <c r="G113" s="39">
        <f t="shared" si="8"/>
        <v>671.6736111111112</v>
      </c>
      <c r="H113" s="36">
        <v>26.9</v>
      </c>
      <c r="I113" s="14"/>
      <c r="J113" s="46">
        <v>7.5</v>
      </c>
      <c r="K113" s="6">
        <v>3.59</v>
      </c>
      <c r="L113" s="40">
        <f t="shared" si="10"/>
        <v>0.2785515320334262</v>
      </c>
      <c r="M113" s="3" t="s">
        <v>87</v>
      </c>
      <c r="N113" s="29" t="s">
        <v>142</v>
      </c>
      <c r="O113" s="23" t="s">
        <v>86</v>
      </c>
      <c r="P113" s="130">
        <f t="shared" si="11"/>
        <v>14.629501943669444</v>
      </c>
    </row>
    <row r="114" spans="1:16" ht="13.5">
      <c r="A114" s="3" t="s">
        <v>88</v>
      </c>
      <c r="B114" s="55">
        <f>25+11/12</f>
        <v>25.916666666666668</v>
      </c>
      <c r="C114" s="6">
        <v>8</v>
      </c>
      <c r="D114" s="6">
        <v>3</v>
      </c>
      <c r="E114" s="25">
        <v>5049</v>
      </c>
      <c r="F114" s="3">
        <f t="shared" si="7"/>
        <v>0.01407334436402497</v>
      </c>
      <c r="G114" s="39">
        <f t="shared" si="8"/>
        <v>671.6736111111112</v>
      </c>
      <c r="H114" s="36">
        <v>32.7</v>
      </c>
      <c r="I114" s="14"/>
      <c r="J114" s="46">
        <v>8.4</v>
      </c>
      <c r="K114" s="6">
        <v>3.89</v>
      </c>
      <c r="L114" s="40">
        <f t="shared" si="10"/>
        <v>0.2570694087403599</v>
      </c>
      <c r="M114" s="3" t="s">
        <v>87</v>
      </c>
      <c r="N114" s="29" t="s">
        <v>142</v>
      </c>
      <c r="O114" s="23" t="s">
        <v>86</v>
      </c>
      <c r="P114" s="130">
        <f t="shared" si="11"/>
        <v>18.45322858486945</v>
      </c>
    </row>
    <row r="115" spans="1:16" ht="13.5">
      <c r="A115" s="3" t="s">
        <v>88</v>
      </c>
      <c r="B115" s="55">
        <f>25+11/12</f>
        <v>25.916666666666668</v>
      </c>
      <c r="C115" s="6">
        <v>8</v>
      </c>
      <c r="D115" s="6">
        <v>3</v>
      </c>
      <c r="E115" s="25">
        <v>5049</v>
      </c>
      <c r="F115" s="3">
        <f t="shared" si="7"/>
        <v>0.01407334436402497</v>
      </c>
      <c r="G115" s="39">
        <f t="shared" si="8"/>
        <v>671.6736111111112</v>
      </c>
      <c r="H115" s="36">
        <v>38.5</v>
      </c>
      <c r="I115" s="14"/>
      <c r="J115" s="46">
        <v>12.2</v>
      </c>
      <c r="K115" s="6">
        <v>3.16</v>
      </c>
      <c r="L115" s="40">
        <f t="shared" si="10"/>
        <v>0.3164556962025316</v>
      </c>
      <c r="M115" s="3" t="s">
        <v>87</v>
      </c>
      <c r="N115" s="29" t="s">
        <v>142</v>
      </c>
      <c r="O115" s="23" t="s">
        <v>86</v>
      </c>
      <c r="P115" s="130">
        <f t="shared" si="11"/>
        <v>22.276955226069447</v>
      </c>
    </row>
    <row r="116" spans="1:16" ht="13.5">
      <c r="A116" s="3" t="s">
        <v>88</v>
      </c>
      <c r="B116" s="55">
        <f>25+11/12</f>
        <v>25.916666666666668</v>
      </c>
      <c r="C116" s="6">
        <v>8</v>
      </c>
      <c r="D116" s="6">
        <v>3</v>
      </c>
      <c r="E116" s="25">
        <v>5049</v>
      </c>
      <c r="F116" s="3">
        <f t="shared" si="7"/>
        <v>0.01407334436402497</v>
      </c>
      <c r="G116" s="39">
        <f t="shared" si="8"/>
        <v>671.6736111111112</v>
      </c>
      <c r="H116" s="36">
        <v>51</v>
      </c>
      <c r="I116" s="14"/>
      <c r="J116" s="46">
        <v>21</v>
      </c>
      <c r="K116" s="6">
        <v>2.43</v>
      </c>
      <c r="L116" s="40">
        <f t="shared" si="10"/>
        <v>0.4115226337448559</v>
      </c>
      <c r="M116" s="3" t="s">
        <v>87</v>
      </c>
      <c r="N116" s="29" t="s">
        <v>142</v>
      </c>
      <c r="O116" s="23" t="s">
        <v>86</v>
      </c>
      <c r="P116" s="130">
        <f t="shared" si="11"/>
        <v>30.517745401069448</v>
      </c>
    </row>
    <row r="117" spans="1:16" ht="13.5">
      <c r="A117" s="3" t="s">
        <v>82</v>
      </c>
      <c r="B117" s="55">
        <v>26</v>
      </c>
      <c r="C117" s="6">
        <v>8.5</v>
      </c>
      <c r="D117" s="6">
        <f>20/12</f>
        <v>1.6666666666666667</v>
      </c>
      <c r="E117" s="25">
        <v>5000</v>
      </c>
      <c r="F117" s="3">
        <f t="shared" si="7"/>
        <v>0.01414213562373095</v>
      </c>
      <c r="G117" s="39">
        <f t="shared" si="8"/>
        <v>676</v>
      </c>
      <c r="H117" s="36">
        <v>39</v>
      </c>
      <c r="I117" s="14"/>
      <c r="J117" s="46">
        <v>20</v>
      </c>
      <c r="K117" s="6">
        <v>1.95</v>
      </c>
      <c r="L117" s="40">
        <f t="shared" si="10"/>
        <v>0.5128205128205129</v>
      </c>
      <c r="M117" s="3" t="s">
        <v>81</v>
      </c>
      <c r="N117" s="29" t="s">
        <v>83</v>
      </c>
      <c r="O117" s="23" t="s">
        <v>76</v>
      </c>
      <c r="P117" s="130">
        <f t="shared" si="11"/>
        <v>22.678630804</v>
      </c>
    </row>
    <row r="118" spans="1:16" ht="13.5">
      <c r="A118" s="1" t="s">
        <v>107</v>
      </c>
      <c r="B118" s="53">
        <v>26</v>
      </c>
      <c r="C118" s="5">
        <v>8.5</v>
      </c>
      <c r="E118" s="25">
        <v>4000</v>
      </c>
      <c r="F118" s="3">
        <f t="shared" si="7"/>
        <v>0.015811388300841896</v>
      </c>
      <c r="G118" s="39">
        <f t="shared" si="8"/>
        <v>676</v>
      </c>
      <c r="H118" s="37">
        <v>20</v>
      </c>
      <c r="I118" s="14"/>
      <c r="J118" s="46">
        <v>6.5</v>
      </c>
      <c r="K118" s="6">
        <f aca="true" t="shared" si="15" ref="K118:K124">H118/J118</f>
        <v>3.076923076923077</v>
      </c>
      <c r="L118" s="40">
        <f t="shared" si="10"/>
        <v>0.32499999999999996</v>
      </c>
      <c r="M118" s="1" t="s">
        <v>108</v>
      </c>
      <c r="N118" s="29" t="s">
        <v>114</v>
      </c>
      <c r="O118" s="23" t="s">
        <v>106</v>
      </c>
      <c r="P118" s="130">
        <f t="shared" si="11"/>
        <v>10.152629738</v>
      </c>
    </row>
    <row r="119" spans="1:16" ht="13.5">
      <c r="A119" s="3" t="s">
        <v>27</v>
      </c>
      <c r="B119" s="55">
        <v>26</v>
      </c>
      <c r="C119" s="6">
        <v>8.5</v>
      </c>
      <c r="D119" s="6">
        <f>22/12</f>
        <v>1.8333333333333333</v>
      </c>
      <c r="E119" s="25">
        <v>4800</v>
      </c>
      <c r="F119" s="3">
        <f t="shared" si="7"/>
        <v>0.014433756729740642</v>
      </c>
      <c r="G119" s="39">
        <f t="shared" si="8"/>
        <v>676</v>
      </c>
      <c r="H119" s="36">
        <v>23</v>
      </c>
      <c r="I119" s="14"/>
      <c r="J119" s="46">
        <v>10.8</v>
      </c>
      <c r="K119" s="6">
        <f t="shared" si="15"/>
        <v>2.1296296296296293</v>
      </c>
      <c r="L119" s="40">
        <f t="shared" si="10"/>
        <v>0.4695652173913044</v>
      </c>
      <c r="M119" s="3" t="s">
        <v>26</v>
      </c>
      <c r="N119" s="29" t="s">
        <v>28</v>
      </c>
      <c r="O119" s="23" t="s">
        <v>76</v>
      </c>
      <c r="P119" s="130">
        <f t="shared" si="11"/>
        <v>12.13041938</v>
      </c>
    </row>
    <row r="120" spans="1:16" ht="13.5">
      <c r="A120" s="3" t="s">
        <v>27</v>
      </c>
      <c r="B120" s="55">
        <v>26</v>
      </c>
      <c r="C120" s="6">
        <v>8.5</v>
      </c>
      <c r="D120" s="6">
        <f>22/12</f>
        <v>1.8333333333333333</v>
      </c>
      <c r="E120" s="25">
        <v>4800</v>
      </c>
      <c r="F120" s="3">
        <f t="shared" si="7"/>
        <v>0.014433756729740642</v>
      </c>
      <c r="G120" s="39">
        <f t="shared" si="8"/>
        <v>676</v>
      </c>
      <c r="H120" s="36">
        <v>38</v>
      </c>
      <c r="I120" s="14"/>
      <c r="J120" s="46">
        <v>25.8</v>
      </c>
      <c r="K120" s="6">
        <f t="shared" si="15"/>
        <v>1.4728682170542635</v>
      </c>
      <c r="L120" s="40">
        <f t="shared" si="10"/>
        <v>0.6789473684210526</v>
      </c>
      <c r="M120" s="3" t="s">
        <v>26</v>
      </c>
      <c r="N120" s="29" t="s">
        <v>28</v>
      </c>
      <c r="O120" s="23" t="s">
        <v>76</v>
      </c>
      <c r="P120" s="130">
        <f t="shared" si="11"/>
        <v>22.019367589999998</v>
      </c>
    </row>
    <row r="121" spans="1:16" ht="13.5">
      <c r="A121" s="3" t="s">
        <v>30</v>
      </c>
      <c r="B121" s="55">
        <f>26+11/12</f>
        <v>26.916666666666668</v>
      </c>
      <c r="C121" s="6">
        <v>8.5</v>
      </c>
      <c r="D121" s="6"/>
      <c r="E121" s="25">
        <v>3975</v>
      </c>
      <c r="F121" s="3">
        <f t="shared" si="7"/>
        <v>0.015861031714362882</v>
      </c>
      <c r="G121" s="39">
        <f t="shared" si="8"/>
        <v>724.5069444444445</v>
      </c>
      <c r="H121" s="36">
        <v>6</v>
      </c>
      <c r="I121" s="14"/>
      <c r="J121" s="46">
        <v>2.5</v>
      </c>
      <c r="K121" s="6">
        <f t="shared" si="15"/>
        <v>2.4</v>
      </c>
      <c r="L121" s="40">
        <f t="shared" si="10"/>
        <v>0.4166666666666667</v>
      </c>
      <c r="M121" s="3" t="s">
        <v>29</v>
      </c>
      <c r="N121" s="29" t="s">
        <v>31</v>
      </c>
      <c r="O121" s="23" t="s">
        <v>76</v>
      </c>
      <c r="P121" s="130">
        <f t="shared" si="11"/>
        <v>1.7306929554027777</v>
      </c>
    </row>
    <row r="122" spans="1:16" ht="13.5">
      <c r="A122" s="3" t="s">
        <v>30</v>
      </c>
      <c r="B122" s="55">
        <f>26+11/12</f>
        <v>26.916666666666668</v>
      </c>
      <c r="C122" s="6">
        <v>8.5</v>
      </c>
      <c r="D122" s="6"/>
      <c r="E122" s="25">
        <v>3975</v>
      </c>
      <c r="F122" s="3">
        <f t="shared" si="7"/>
        <v>0.015861031714362882</v>
      </c>
      <c r="G122" s="39">
        <f t="shared" si="8"/>
        <v>724.5069444444445</v>
      </c>
      <c r="H122" s="36">
        <v>26</v>
      </c>
      <c r="I122" s="14"/>
      <c r="J122" s="46">
        <v>7.1</v>
      </c>
      <c r="K122" s="6">
        <f t="shared" si="15"/>
        <v>3.6619718309859155</v>
      </c>
      <c r="L122" s="40">
        <f t="shared" si="10"/>
        <v>0.27307692307692305</v>
      </c>
      <c r="M122" s="3" t="s">
        <v>29</v>
      </c>
      <c r="N122" s="29" t="s">
        <v>31</v>
      </c>
      <c r="O122" s="23" t="s">
        <v>76</v>
      </c>
      <c r="P122" s="130">
        <f t="shared" si="11"/>
        <v>14.915957235402779</v>
      </c>
    </row>
    <row r="123" spans="1:16" ht="13.5">
      <c r="A123" s="3" t="s">
        <v>30</v>
      </c>
      <c r="B123" s="55">
        <f>26+11/12</f>
        <v>26.916666666666668</v>
      </c>
      <c r="C123" s="6">
        <v>8.5</v>
      </c>
      <c r="D123" s="6"/>
      <c r="E123" s="25">
        <v>3975</v>
      </c>
      <c r="F123" s="3">
        <f t="shared" si="7"/>
        <v>0.015861031714362882</v>
      </c>
      <c r="G123" s="39">
        <f t="shared" si="8"/>
        <v>724.5069444444445</v>
      </c>
      <c r="H123" s="36">
        <v>50.9</v>
      </c>
      <c r="I123" s="14"/>
      <c r="J123" s="46">
        <v>42.4</v>
      </c>
      <c r="K123" s="6">
        <f t="shared" si="15"/>
        <v>1.2004716981132075</v>
      </c>
      <c r="L123" s="40">
        <f t="shared" si="10"/>
        <v>0.8330058939096268</v>
      </c>
      <c r="M123" s="3" t="s">
        <v>29</v>
      </c>
      <c r="N123" s="29" t="s">
        <v>31</v>
      </c>
      <c r="O123" s="23" t="s">
        <v>76</v>
      </c>
      <c r="P123" s="130">
        <f t="shared" si="11"/>
        <v>31.331611264002774</v>
      </c>
    </row>
    <row r="124" spans="1:16" ht="13.5">
      <c r="A124" s="3" t="s">
        <v>55</v>
      </c>
      <c r="B124" s="55">
        <v>27</v>
      </c>
      <c r="C124" s="6">
        <v>9.1666</v>
      </c>
      <c r="D124" s="6"/>
      <c r="E124" s="25">
        <v>5100</v>
      </c>
      <c r="F124" s="3">
        <f t="shared" si="7"/>
        <v>0.0140028008402801</v>
      </c>
      <c r="G124" s="39">
        <f t="shared" si="8"/>
        <v>729</v>
      </c>
      <c r="H124" s="36">
        <v>30</v>
      </c>
      <c r="I124" s="14"/>
      <c r="J124" s="46">
        <v>8</v>
      </c>
      <c r="K124" s="6">
        <f t="shared" si="15"/>
        <v>3.75</v>
      </c>
      <c r="L124" s="40">
        <f t="shared" si="10"/>
        <v>0.26666666666666666</v>
      </c>
      <c r="M124" s="3" t="s">
        <v>54</v>
      </c>
      <c r="N124" s="29" t="s">
        <v>56</v>
      </c>
      <c r="O124" s="23" t="s">
        <v>76</v>
      </c>
      <c r="P124" s="130">
        <f t="shared" si="11"/>
        <v>17.627829432000002</v>
      </c>
    </row>
    <row r="125" spans="1:16" ht="13.5">
      <c r="A125" s="3" t="s">
        <v>80</v>
      </c>
      <c r="B125" s="55">
        <v>27</v>
      </c>
      <c r="C125" s="6">
        <v>10</v>
      </c>
      <c r="D125" s="6">
        <v>2</v>
      </c>
      <c r="E125" s="25">
        <v>7500</v>
      </c>
      <c r="F125" s="3">
        <f t="shared" si="7"/>
        <v>0.011547005383792516</v>
      </c>
      <c r="G125" s="39">
        <f t="shared" si="8"/>
        <v>729</v>
      </c>
      <c r="H125" s="36">
        <v>20</v>
      </c>
      <c r="I125" s="14"/>
      <c r="J125" s="46">
        <v>13</v>
      </c>
      <c r="K125" s="6">
        <v>1.54</v>
      </c>
      <c r="L125" s="40">
        <f t="shared" si="10"/>
        <v>0.6493506493506493</v>
      </c>
      <c r="M125" s="3" t="s">
        <v>79</v>
      </c>
      <c r="N125" s="29" t="s">
        <v>144</v>
      </c>
      <c r="O125" s="23" t="s">
        <v>76</v>
      </c>
      <c r="P125" s="130">
        <f t="shared" si="11"/>
        <v>11.035197292000001</v>
      </c>
    </row>
    <row r="126" spans="1:16" ht="13.5">
      <c r="A126" s="3" t="s">
        <v>80</v>
      </c>
      <c r="B126" s="55">
        <v>27</v>
      </c>
      <c r="C126" s="6">
        <v>10</v>
      </c>
      <c r="D126" s="6">
        <v>2</v>
      </c>
      <c r="E126" s="25">
        <v>7500</v>
      </c>
      <c r="F126" s="3">
        <f t="shared" si="7"/>
        <v>0.011547005383792516</v>
      </c>
      <c r="G126" s="39">
        <f t="shared" si="8"/>
        <v>729</v>
      </c>
      <c r="H126" s="36">
        <v>23.166</v>
      </c>
      <c r="I126" s="14"/>
      <c r="J126" s="46">
        <v>18</v>
      </c>
      <c r="K126" s="6">
        <v>1.44</v>
      </c>
      <c r="L126" s="40">
        <f t="shared" si="10"/>
        <v>0.6944444444444444</v>
      </c>
      <c r="M126" s="3" t="s">
        <v>79</v>
      </c>
      <c r="N126" s="29" t="s">
        <v>144</v>
      </c>
      <c r="O126" s="23" t="s">
        <v>76</v>
      </c>
      <c r="P126" s="130">
        <f t="shared" si="11"/>
        <v>13.122424627524001</v>
      </c>
    </row>
    <row r="127" spans="1:16" ht="13.5">
      <c r="A127" s="1" t="s">
        <v>97</v>
      </c>
      <c r="B127" s="53">
        <v>27.33333</v>
      </c>
      <c r="C127" s="5">
        <v>9.5</v>
      </c>
      <c r="E127" s="25">
        <v>7000</v>
      </c>
      <c r="F127" s="3">
        <f t="shared" si="7"/>
        <v>0.011952286093343936</v>
      </c>
      <c r="G127" s="39">
        <f t="shared" si="8"/>
        <v>747.1109288889</v>
      </c>
      <c r="H127" s="37">
        <v>26</v>
      </c>
      <c r="I127" s="14"/>
      <c r="J127" s="46">
        <v>13.3</v>
      </c>
      <c r="K127" s="6">
        <f>H127/J127</f>
        <v>1.9548872180451127</v>
      </c>
      <c r="L127" s="40">
        <f t="shared" si="10"/>
        <v>0.5115384615384616</v>
      </c>
      <c r="M127" s="1" t="s">
        <v>101</v>
      </c>
      <c r="N127" s="29" t="s">
        <v>113</v>
      </c>
      <c r="O127" s="23" t="s">
        <v>96</v>
      </c>
      <c r="P127" s="130">
        <f t="shared" si="11"/>
        <v>15.292363712040462</v>
      </c>
    </row>
    <row r="128" spans="1:16" ht="13.5">
      <c r="A128" s="3" t="s">
        <v>90</v>
      </c>
      <c r="B128" s="55">
        <v>28</v>
      </c>
      <c r="C128" s="6">
        <v>10</v>
      </c>
      <c r="D128" s="6">
        <v>2.5</v>
      </c>
      <c r="E128" s="25">
        <v>10250</v>
      </c>
      <c r="F128" s="3">
        <f t="shared" si="7"/>
        <v>0.009877295966495895</v>
      </c>
      <c r="G128" s="39">
        <f t="shared" si="8"/>
        <v>784</v>
      </c>
      <c r="H128" s="37">
        <f aca="true" t="shared" si="16" ref="H128:H133">I128*I$2</f>
        <v>4.257960000000001</v>
      </c>
      <c r="I128" s="14">
        <v>3.7</v>
      </c>
      <c r="J128" s="46">
        <v>2</v>
      </c>
      <c r="K128" s="6">
        <v>2.13</v>
      </c>
      <c r="L128" s="40">
        <f t="shared" si="10"/>
        <v>0.4694835680751174</v>
      </c>
      <c r="M128" s="3" t="s">
        <v>93</v>
      </c>
      <c r="N128" s="29" t="s">
        <v>145</v>
      </c>
      <c r="O128" s="23" t="s">
        <v>91</v>
      </c>
      <c r="P128" s="130">
        <f t="shared" si="11"/>
        <v>1.5729213966834408</v>
      </c>
    </row>
    <row r="129" spans="1:16" ht="13.5">
      <c r="A129" s="3" t="s">
        <v>90</v>
      </c>
      <c r="B129" s="55">
        <v>28</v>
      </c>
      <c r="C129" s="6">
        <v>10</v>
      </c>
      <c r="D129" s="6">
        <v>2.5</v>
      </c>
      <c r="E129" s="25">
        <v>10250</v>
      </c>
      <c r="F129" s="3">
        <f t="shared" si="7"/>
        <v>0.009877295966495895</v>
      </c>
      <c r="G129" s="39">
        <f t="shared" si="8"/>
        <v>784</v>
      </c>
      <c r="H129" s="37">
        <f t="shared" si="16"/>
        <v>5.1786</v>
      </c>
      <c r="I129" s="14">
        <v>4.5</v>
      </c>
      <c r="J129" s="46">
        <v>4</v>
      </c>
      <c r="K129" s="6">
        <v>1.29</v>
      </c>
      <c r="L129" s="40">
        <f t="shared" si="10"/>
        <v>0.7751937984496123</v>
      </c>
      <c r="M129" s="3" t="s">
        <v>93</v>
      </c>
      <c r="N129" s="29" t="s">
        <v>145</v>
      </c>
      <c r="O129" s="23" t="s">
        <v>91</v>
      </c>
      <c r="P129" s="130">
        <f t="shared" si="11"/>
        <v>2.1798654820204004</v>
      </c>
    </row>
    <row r="130" spans="1:16" ht="13.5">
      <c r="A130" s="3" t="s">
        <v>90</v>
      </c>
      <c r="B130" s="55">
        <v>28</v>
      </c>
      <c r="C130" s="6">
        <v>10</v>
      </c>
      <c r="D130" s="6">
        <v>2.5</v>
      </c>
      <c r="E130" s="25">
        <v>10250</v>
      </c>
      <c r="F130" s="3">
        <f t="shared" si="7"/>
        <v>0.009877295966495895</v>
      </c>
      <c r="G130" s="39">
        <f t="shared" si="8"/>
        <v>784</v>
      </c>
      <c r="H130" s="37">
        <f t="shared" si="16"/>
        <v>11.508000000000001</v>
      </c>
      <c r="I130" s="14">
        <v>10</v>
      </c>
      <c r="J130" s="46">
        <v>4.5</v>
      </c>
      <c r="K130" s="6">
        <v>2.56</v>
      </c>
      <c r="L130" s="40">
        <f t="shared" si="10"/>
        <v>0.390625</v>
      </c>
      <c r="M130" s="3" t="s">
        <v>93</v>
      </c>
      <c r="N130" s="29" t="s">
        <v>145</v>
      </c>
      <c r="O130" s="23" t="s">
        <v>91</v>
      </c>
      <c r="P130" s="130">
        <f t="shared" si="11"/>
        <v>6.352606068712001</v>
      </c>
    </row>
    <row r="131" spans="1:16" ht="13.5">
      <c r="A131" s="3" t="s">
        <v>90</v>
      </c>
      <c r="B131" s="55">
        <v>28</v>
      </c>
      <c r="C131" s="6">
        <v>10</v>
      </c>
      <c r="D131" s="6">
        <v>2.5</v>
      </c>
      <c r="E131" s="25">
        <v>10250</v>
      </c>
      <c r="F131" s="3">
        <f aca="true" t="shared" si="17" ref="F131:F194">E131^(-0.5)</f>
        <v>0.009877295966495895</v>
      </c>
      <c r="G131" s="39">
        <f t="shared" si="8"/>
        <v>784</v>
      </c>
      <c r="H131" s="37">
        <f t="shared" si="16"/>
        <v>16.1112</v>
      </c>
      <c r="I131" s="14">
        <v>14</v>
      </c>
      <c r="J131" s="46">
        <v>12</v>
      </c>
      <c r="K131" s="6">
        <v>1.34</v>
      </c>
      <c r="L131" s="40">
        <f t="shared" si="10"/>
        <v>0.7462686567164178</v>
      </c>
      <c r="M131" s="3" t="s">
        <v>93</v>
      </c>
      <c r="N131" s="29" t="s">
        <v>145</v>
      </c>
      <c r="O131" s="23" t="s">
        <v>91</v>
      </c>
      <c r="P131" s="130">
        <f t="shared" si="11"/>
        <v>9.3873264953968</v>
      </c>
    </row>
    <row r="132" spans="1:16" ht="13.5">
      <c r="A132" s="3" t="s">
        <v>90</v>
      </c>
      <c r="B132" s="55">
        <v>28</v>
      </c>
      <c r="C132" s="6">
        <v>10</v>
      </c>
      <c r="D132" s="6">
        <v>2.5</v>
      </c>
      <c r="E132" s="25">
        <v>10250</v>
      </c>
      <c r="F132" s="3">
        <f t="shared" si="17"/>
        <v>0.009877295966495895</v>
      </c>
      <c r="G132" s="39">
        <f aca="true" t="shared" si="18" ref="G132:G195">B132^G$2</f>
        <v>784</v>
      </c>
      <c r="H132" s="37">
        <f t="shared" si="16"/>
        <v>27.6192</v>
      </c>
      <c r="I132" s="14">
        <v>24</v>
      </c>
      <c r="J132" s="46">
        <v>18</v>
      </c>
      <c r="K132" s="6">
        <v>1.53</v>
      </c>
      <c r="L132" s="40">
        <f t="shared" si="10"/>
        <v>0.6535947712418301</v>
      </c>
      <c r="M132" s="3" t="s">
        <v>93</v>
      </c>
      <c r="N132" s="29" t="s">
        <v>145</v>
      </c>
      <c r="O132" s="23" t="s">
        <v>91</v>
      </c>
      <c r="P132" s="130">
        <f t="shared" si="11"/>
        <v>16.974127562108798</v>
      </c>
    </row>
    <row r="133" spans="1:16" ht="13.5">
      <c r="A133" s="3" t="s">
        <v>90</v>
      </c>
      <c r="B133" s="55">
        <v>28</v>
      </c>
      <c r="C133" s="6">
        <v>10</v>
      </c>
      <c r="D133" s="6">
        <v>2.5</v>
      </c>
      <c r="E133" s="25">
        <v>10250</v>
      </c>
      <c r="F133" s="3">
        <f t="shared" si="17"/>
        <v>0.009877295966495895</v>
      </c>
      <c r="G133" s="39">
        <f t="shared" si="18"/>
        <v>784</v>
      </c>
      <c r="H133" s="37">
        <f t="shared" si="16"/>
        <v>39.1272</v>
      </c>
      <c r="I133" s="14">
        <v>34</v>
      </c>
      <c r="J133" s="46">
        <v>22</v>
      </c>
      <c r="K133" s="6">
        <v>1.78</v>
      </c>
      <c r="L133" s="40">
        <f aca="true" t="shared" si="19" ref="L133:L196">1/K133</f>
        <v>0.5617977528089888</v>
      </c>
      <c r="M133" s="3" t="s">
        <v>93</v>
      </c>
      <c r="N133" s="29" t="s">
        <v>145</v>
      </c>
      <c r="O133" s="23" t="s">
        <v>91</v>
      </c>
      <c r="P133" s="130">
        <f aca="true" t="shared" si="20" ref="P133:P196">-14.28953391+0.016652218*G133+0.659263214*H133</f>
        <v>24.5609286288208</v>
      </c>
    </row>
    <row r="134" spans="1:16" ht="13.5">
      <c r="A134" s="3" t="s">
        <v>90</v>
      </c>
      <c r="B134" s="55">
        <v>28</v>
      </c>
      <c r="C134" s="6">
        <v>10</v>
      </c>
      <c r="D134" s="6">
        <v>2.5</v>
      </c>
      <c r="E134" s="25">
        <v>10250</v>
      </c>
      <c r="F134" s="3">
        <f t="shared" si="17"/>
        <v>0.009877295966495895</v>
      </c>
      <c r="G134" s="39">
        <f t="shared" si="18"/>
        <v>784</v>
      </c>
      <c r="H134" s="36">
        <v>2.8</v>
      </c>
      <c r="I134" s="15"/>
      <c r="J134" s="44">
        <v>1</v>
      </c>
      <c r="K134" s="6">
        <v>2.8</v>
      </c>
      <c r="L134" s="40">
        <f t="shared" si="19"/>
        <v>0.35714285714285715</v>
      </c>
      <c r="M134" s="3" t="s">
        <v>92</v>
      </c>
      <c r="N134" s="29" t="s">
        <v>145</v>
      </c>
      <c r="O134" s="23" t="s">
        <v>91</v>
      </c>
      <c r="P134" s="130">
        <f t="shared" si="20"/>
        <v>0.6117420012000003</v>
      </c>
    </row>
    <row r="135" spans="1:16" ht="13.5">
      <c r="A135" s="3" t="s">
        <v>90</v>
      </c>
      <c r="B135" s="55">
        <v>28</v>
      </c>
      <c r="C135" s="6">
        <v>10</v>
      </c>
      <c r="D135" s="6">
        <v>2.5</v>
      </c>
      <c r="E135" s="25">
        <v>10250</v>
      </c>
      <c r="F135" s="3">
        <f t="shared" si="17"/>
        <v>0.009877295966495895</v>
      </c>
      <c r="G135" s="39">
        <f t="shared" si="18"/>
        <v>784</v>
      </c>
      <c r="H135" s="36">
        <v>5</v>
      </c>
      <c r="I135" s="15"/>
      <c r="J135" s="46">
        <v>3</v>
      </c>
      <c r="K135" s="6">
        <v>1.67</v>
      </c>
      <c r="L135" s="40">
        <f t="shared" si="19"/>
        <v>0.5988023952095809</v>
      </c>
      <c r="M135" s="3" t="s">
        <v>92</v>
      </c>
      <c r="N135" s="29" t="s">
        <v>145</v>
      </c>
      <c r="O135" s="23" t="s">
        <v>91</v>
      </c>
      <c r="P135" s="130">
        <f t="shared" si="20"/>
        <v>2.0621210720000005</v>
      </c>
    </row>
    <row r="136" spans="1:16" ht="13.5">
      <c r="A136" s="3" t="s">
        <v>90</v>
      </c>
      <c r="B136" s="55">
        <v>28</v>
      </c>
      <c r="C136" s="6">
        <v>10</v>
      </c>
      <c r="D136" s="6">
        <v>2.5</v>
      </c>
      <c r="E136" s="25">
        <v>10250</v>
      </c>
      <c r="F136" s="3">
        <f t="shared" si="17"/>
        <v>0.009877295966495895</v>
      </c>
      <c r="G136" s="39">
        <f t="shared" si="18"/>
        <v>784</v>
      </c>
      <c r="H136" s="36">
        <v>6.4</v>
      </c>
      <c r="I136" s="15"/>
      <c r="J136" s="46">
        <v>4</v>
      </c>
      <c r="K136" s="6">
        <v>1.6</v>
      </c>
      <c r="L136" s="40">
        <f t="shared" si="19"/>
        <v>0.625</v>
      </c>
      <c r="M136" s="3" t="s">
        <v>92</v>
      </c>
      <c r="N136" s="29" t="s">
        <v>145</v>
      </c>
      <c r="O136" s="23" t="s">
        <v>91</v>
      </c>
      <c r="P136" s="130">
        <f t="shared" si="20"/>
        <v>2.9850895716000005</v>
      </c>
    </row>
    <row r="137" spans="1:16" ht="13.5">
      <c r="A137" s="3" t="s">
        <v>90</v>
      </c>
      <c r="B137" s="55">
        <v>28</v>
      </c>
      <c r="C137" s="6">
        <v>10</v>
      </c>
      <c r="D137" s="6">
        <v>2.5</v>
      </c>
      <c r="E137" s="25">
        <v>10250</v>
      </c>
      <c r="F137" s="3">
        <f t="shared" si="17"/>
        <v>0.009877295966495895</v>
      </c>
      <c r="G137" s="39">
        <f t="shared" si="18"/>
        <v>784</v>
      </c>
      <c r="H137" s="36">
        <v>10</v>
      </c>
      <c r="I137" s="15"/>
      <c r="J137" s="46">
        <v>7</v>
      </c>
      <c r="K137" s="6">
        <v>1.43</v>
      </c>
      <c r="L137" s="40">
        <f t="shared" si="19"/>
        <v>0.6993006993006994</v>
      </c>
      <c r="M137" s="3" t="s">
        <v>92</v>
      </c>
      <c r="N137" s="29" t="s">
        <v>145</v>
      </c>
      <c r="O137" s="23" t="s">
        <v>91</v>
      </c>
      <c r="P137" s="130">
        <f t="shared" si="20"/>
        <v>5.3584371420000005</v>
      </c>
    </row>
    <row r="138" spans="1:16" ht="13.5">
      <c r="A138" s="3" t="s">
        <v>90</v>
      </c>
      <c r="B138" s="55">
        <v>28</v>
      </c>
      <c r="C138" s="6">
        <v>10</v>
      </c>
      <c r="D138" s="6">
        <v>2.5</v>
      </c>
      <c r="E138" s="25">
        <v>10250</v>
      </c>
      <c r="F138" s="3">
        <f t="shared" si="17"/>
        <v>0.009877295966495895</v>
      </c>
      <c r="G138" s="39">
        <f t="shared" si="18"/>
        <v>784</v>
      </c>
      <c r="H138" s="36">
        <v>13</v>
      </c>
      <c r="I138" s="15"/>
      <c r="J138" s="46">
        <v>10</v>
      </c>
      <c r="K138" s="6">
        <v>1.3</v>
      </c>
      <c r="L138" s="40">
        <f t="shared" si="19"/>
        <v>0.7692307692307692</v>
      </c>
      <c r="M138" s="3" t="s">
        <v>92</v>
      </c>
      <c r="N138" s="29" t="s">
        <v>145</v>
      </c>
      <c r="O138" s="23" t="s">
        <v>91</v>
      </c>
      <c r="P138" s="130">
        <f t="shared" si="20"/>
        <v>7.336226784000001</v>
      </c>
    </row>
    <row r="139" spans="1:16" ht="13.5">
      <c r="A139" s="3" t="s">
        <v>90</v>
      </c>
      <c r="B139" s="55">
        <v>28</v>
      </c>
      <c r="C139" s="6">
        <v>10</v>
      </c>
      <c r="D139" s="6">
        <v>2.5</v>
      </c>
      <c r="E139" s="25">
        <v>10250</v>
      </c>
      <c r="F139" s="3">
        <f t="shared" si="17"/>
        <v>0.009877295966495895</v>
      </c>
      <c r="G139" s="39">
        <f t="shared" si="18"/>
        <v>784</v>
      </c>
      <c r="H139" s="36">
        <v>19</v>
      </c>
      <c r="I139" s="15"/>
      <c r="J139" s="46">
        <v>16</v>
      </c>
      <c r="K139" s="6">
        <v>1.19</v>
      </c>
      <c r="L139" s="40">
        <f t="shared" si="19"/>
        <v>0.8403361344537815</v>
      </c>
      <c r="M139" s="3" t="s">
        <v>92</v>
      </c>
      <c r="N139" s="29" t="s">
        <v>145</v>
      </c>
      <c r="O139" s="23" t="s">
        <v>91</v>
      </c>
      <c r="P139" s="130">
        <f t="shared" si="20"/>
        <v>11.291806068</v>
      </c>
    </row>
    <row r="140" spans="1:16" ht="13.5">
      <c r="A140" s="3" t="s">
        <v>90</v>
      </c>
      <c r="B140" s="55">
        <v>28</v>
      </c>
      <c r="C140" s="6">
        <v>10</v>
      </c>
      <c r="D140" s="6">
        <v>2.5</v>
      </c>
      <c r="E140" s="25">
        <v>10250</v>
      </c>
      <c r="F140" s="3">
        <f t="shared" si="17"/>
        <v>0.009877295966495895</v>
      </c>
      <c r="G140" s="39">
        <f t="shared" si="18"/>
        <v>784</v>
      </c>
      <c r="H140" s="36">
        <v>24</v>
      </c>
      <c r="I140" s="15"/>
      <c r="J140" s="46">
        <v>18.8</v>
      </c>
      <c r="K140" s="6">
        <v>1.28</v>
      </c>
      <c r="L140" s="40">
        <f t="shared" si="19"/>
        <v>0.78125</v>
      </c>
      <c r="M140" s="3" t="s">
        <v>92</v>
      </c>
      <c r="N140" s="29" t="s">
        <v>145</v>
      </c>
      <c r="O140" s="23" t="s">
        <v>91</v>
      </c>
      <c r="P140" s="130">
        <f t="shared" si="20"/>
        <v>14.588122138</v>
      </c>
    </row>
    <row r="141" spans="1:16" ht="13.5">
      <c r="A141" s="3" t="s">
        <v>90</v>
      </c>
      <c r="B141" s="55">
        <v>28</v>
      </c>
      <c r="C141" s="6">
        <v>10</v>
      </c>
      <c r="D141" s="6">
        <v>2.5</v>
      </c>
      <c r="E141" s="25">
        <v>10250</v>
      </c>
      <c r="F141" s="3">
        <f t="shared" si="17"/>
        <v>0.009877295966495895</v>
      </c>
      <c r="G141" s="39">
        <f t="shared" si="18"/>
        <v>784</v>
      </c>
      <c r="H141" s="36">
        <v>34</v>
      </c>
      <c r="I141" s="15"/>
      <c r="J141" s="46">
        <v>20</v>
      </c>
      <c r="K141" s="6">
        <v>1.7</v>
      </c>
      <c r="L141" s="40">
        <f t="shared" si="19"/>
        <v>0.5882352941176471</v>
      </c>
      <c r="M141" s="3" t="s">
        <v>92</v>
      </c>
      <c r="N141" s="29" t="s">
        <v>145</v>
      </c>
      <c r="O141" s="23" t="s">
        <v>91</v>
      </c>
      <c r="P141" s="130">
        <f t="shared" si="20"/>
        <v>21.180754278</v>
      </c>
    </row>
    <row r="142" spans="1:16" ht="13.5">
      <c r="A142" s="3" t="s">
        <v>90</v>
      </c>
      <c r="B142" s="55">
        <v>28</v>
      </c>
      <c r="C142" s="6">
        <v>10</v>
      </c>
      <c r="D142" s="6">
        <v>2.5</v>
      </c>
      <c r="E142" s="25">
        <v>10250</v>
      </c>
      <c r="F142" s="3">
        <f t="shared" si="17"/>
        <v>0.009877295966495895</v>
      </c>
      <c r="G142" s="39">
        <f t="shared" si="18"/>
        <v>784</v>
      </c>
      <c r="H142" s="36">
        <v>38</v>
      </c>
      <c r="I142" s="15"/>
      <c r="J142" s="46">
        <v>28</v>
      </c>
      <c r="K142" s="6">
        <v>1.36</v>
      </c>
      <c r="L142" s="40">
        <f t="shared" si="19"/>
        <v>0.7352941176470588</v>
      </c>
      <c r="M142" s="3" t="s">
        <v>92</v>
      </c>
      <c r="N142" s="29" t="s">
        <v>145</v>
      </c>
      <c r="O142" s="23" t="s">
        <v>91</v>
      </c>
      <c r="P142" s="130">
        <f t="shared" si="20"/>
        <v>23.817807134</v>
      </c>
    </row>
    <row r="143" spans="1:16" ht="13.5">
      <c r="A143" s="3" t="s">
        <v>90</v>
      </c>
      <c r="B143" s="55">
        <v>28</v>
      </c>
      <c r="C143" s="6">
        <v>10</v>
      </c>
      <c r="D143" s="6">
        <v>2.5</v>
      </c>
      <c r="E143" s="25">
        <v>10250</v>
      </c>
      <c r="F143" s="3">
        <f t="shared" si="17"/>
        <v>0.009877295966495895</v>
      </c>
      <c r="G143" s="39">
        <f t="shared" si="18"/>
        <v>784</v>
      </c>
      <c r="H143" s="36">
        <v>40</v>
      </c>
      <c r="I143" s="15"/>
      <c r="J143" s="46">
        <v>32</v>
      </c>
      <c r="K143" s="6">
        <v>1.25</v>
      </c>
      <c r="L143" s="40">
        <f t="shared" si="19"/>
        <v>0.8</v>
      </c>
      <c r="M143" s="3" t="s">
        <v>92</v>
      </c>
      <c r="N143" s="29" t="s">
        <v>145</v>
      </c>
      <c r="O143" s="23" t="s">
        <v>91</v>
      </c>
      <c r="P143" s="130">
        <f t="shared" si="20"/>
        <v>25.136333562</v>
      </c>
    </row>
    <row r="144" spans="1:16" ht="13.5">
      <c r="A144" s="3" t="s">
        <v>90</v>
      </c>
      <c r="B144" s="55">
        <v>28</v>
      </c>
      <c r="C144" s="6">
        <v>10</v>
      </c>
      <c r="D144" s="6">
        <v>2.5</v>
      </c>
      <c r="E144" s="25">
        <v>10250</v>
      </c>
      <c r="F144" s="3">
        <f t="shared" si="17"/>
        <v>0.009877295966495895</v>
      </c>
      <c r="G144" s="39">
        <f t="shared" si="18"/>
        <v>784</v>
      </c>
      <c r="H144" s="36">
        <v>48</v>
      </c>
      <c r="I144" s="15"/>
      <c r="J144" s="46">
        <v>38</v>
      </c>
      <c r="K144" s="6">
        <v>1.26</v>
      </c>
      <c r="L144" s="40">
        <f t="shared" si="19"/>
        <v>0.7936507936507936</v>
      </c>
      <c r="M144" s="3" t="s">
        <v>92</v>
      </c>
      <c r="N144" s="29" t="s">
        <v>145</v>
      </c>
      <c r="O144" s="23" t="s">
        <v>91</v>
      </c>
      <c r="P144" s="130">
        <f t="shared" si="20"/>
        <v>30.410439273999998</v>
      </c>
    </row>
    <row r="145" spans="1:16" ht="13.5">
      <c r="A145" s="3" t="s">
        <v>90</v>
      </c>
      <c r="B145" s="55">
        <v>28</v>
      </c>
      <c r="C145" s="6">
        <v>10</v>
      </c>
      <c r="D145" s="6">
        <v>2.5</v>
      </c>
      <c r="E145" s="25">
        <v>10250</v>
      </c>
      <c r="F145" s="3">
        <f t="shared" si="17"/>
        <v>0.009877295966495895</v>
      </c>
      <c r="G145" s="39">
        <f t="shared" si="18"/>
        <v>784</v>
      </c>
      <c r="H145" s="36">
        <v>5</v>
      </c>
      <c r="I145" s="15"/>
      <c r="J145" s="44">
        <v>1</v>
      </c>
      <c r="K145" s="6">
        <v>5</v>
      </c>
      <c r="L145" s="40">
        <f t="shared" si="19"/>
        <v>0.2</v>
      </c>
      <c r="M145" s="3" t="s">
        <v>89</v>
      </c>
      <c r="N145" s="29" t="s">
        <v>145</v>
      </c>
      <c r="O145" s="23" t="s">
        <v>91</v>
      </c>
      <c r="P145" s="130">
        <f t="shared" si="20"/>
        <v>2.0621210720000005</v>
      </c>
    </row>
    <row r="146" spans="1:16" ht="13.5">
      <c r="A146" s="3" t="s">
        <v>90</v>
      </c>
      <c r="B146" s="55">
        <v>28</v>
      </c>
      <c r="C146" s="6">
        <v>10</v>
      </c>
      <c r="D146" s="6">
        <v>2.5</v>
      </c>
      <c r="E146" s="25">
        <v>10250</v>
      </c>
      <c r="F146" s="3">
        <f t="shared" si="17"/>
        <v>0.009877295966495895</v>
      </c>
      <c r="G146" s="39">
        <f t="shared" si="18"/>
        <v>784</v>
      </c>
      <c r="H146" s="36">
        <v>8</v>
      </c>
      <c r="I146" s="15"/>
      <c r="J146" s="44">
        <v>1.5</v>
      </c>
      <c r="K146" s="6">
        <v>5.33</v>
      </c>
      <c r="L146" s="40">
        <f t="shared" si="19"/>
        <v>0.18761726078799248</v>
      </c>
      <c r="M146" s="3" t="s">
        <v>89</v>
      </c>
      <c r="N146" s="29" t="s">
        <v>145</v>
      </c>
      <c r="O146" s="23" t="s">
        <v>91</v>
      </c>
      <c r="P146" s="130">
        <f t="shared" si="20"/>
        <v>4.039910714</v>
      </c>
    </row>
    <row r="147" spans="1:16" ht="13.5">
      <c r="A147" s="3" t="s">
        <v>90</v>
      </c>
      <c r="B147" s="55">
        <v>28</v>
      </c>
      <c r="C147" s="6">
        <v>10</v>
      </c>
      <c r="D147" s="6">
        <v>2.5</v>
      </c>
      <c r="E147" s="25">
        <v>10250</v>
      </c>
      <c r="F147" s="3">
        <f t="shared" si="17"/>
        <v>0.009877295966495895</v>
      </c>
      <c r="G147" s="39">
        <f t="shared" si="18"/>
        <v>784</v>
      </c>
      <c r="H147" s="36">
        <v>9</v>
      </c>
      <c r="I147" s="15"/>
      <c r="J147" s="46">
        <v>4</v>
      </c>
      <c r="K147" s="6">
        <v>2.25</v>
      </c>
      <c r="L147" s="40">
        <f t="shared" si="19"/>
        <v>0.4444444444444444</v>
      </c>
      <c r="M147" s="3" t="s">
        <v>89</v>
      </c>
      <c r="N147" s="29" t="s">
        <v>145</v>
      </c>
      <c r="O147" s="23" t="s">
        <v>91</v>
      </c>
      <c r="P147" s="130">
        <f t="shared" si="20"/>
        <v>4.6991739280000004</v>
      </c>
    </row>
    <row r="148" spans="1:16" ht="13.5">
      <c r="A148" s="3" t="s">
        <v>90</v>
      </c>
      <c r="B148" s="55">
        <v>28</v>
      </c>
      <c r="C148" s="6">
        <v>10</v>
      </c>
      <c r="D148" s="6">
        <v>2.5</v>
      </c>
      <c r="E148" s="25">
        <v>10250</v>
      </c>
      <c r="F148" s="3">
        <f t="shared" si="17"/>
        <v>0.009877295966495895</v>
      </c>
      <c r="G148" s="39">
        <f t="shared" si="18"/>
        <v>784</v>
      </c>
      <c r="H148" s="36">
        <v>11</v>
      </c>
      <c r="I148" s="15"/>
      <c r="J148" s="46">
        <v>8</v>
      </c>
      <c r="K148" s="6">
        <v>1.38</v>
      </c>
      <c r="L148" s="40">
        <f t="shared" si="19"/>
        <v>0.7246376811594204</v>
      </c>
      <c r="M148" s="3" t="s">
        <v>89</v>
      </c>
      <c r="N148" s="29" t="s">
        <v>145</v>
      </c>
      <c r="O148" s="23" t="s">
        <v>91</v>
      </c>
      <c r="P148" s="130">
        <f t="shared" si="20"/>
        <v>6.017700356000001</v>
      </c>
    </row>
    <row r="149" spans="1:16" ht="13.5">
      <c r="A149" s="3" t="s">
        <v>90</v>
      </c>
      <c r="B149" s="55">
        <v>28</v>
      </c>
      <c r="C149" s="6">
        <v>10</v>
      </c>
      <c r="D149" s="6">
        <v>2.5</v>
      </c>
      <c r="E149" s="25">
        <v>10250</v>
      </c>
      <c r="F149" s="3">
        <f t="shared" si="17"/>
        <v>0.009877295966495895</v>
      </c>
      <c r="G149" s="39">
        <f t="shared" si="18"/>
        <v>784</v>
      </c>
      <c r="H149" s="36">
        <v>18</v>
      </c>
      <c r="I149" s="15"/>
      <c r="J149" s="46">
        <v>12</v>
      </c>
      <c r="K149" s="6">
        <v>1.5</v>
      </c>
      <c r="L149" s="40">
        <f t="shared" si="19"/>
        <v>0.6666666666666666</v>
      </c>
      <c r="M149" s="3" t="s">
        <v>89</v>
      </c>
      <c r="N149" s="29" t="s">
        <v>145</v>
      </c>
      <c r="O149" s="23" t="s">
        <v>91</v>
      </c>
      <c r="P149" s="130">
        <f t="shared" si="20"/>
        <v>10.632542854</v>
      </c>
    </row>
    <row r="150" spans="1:16" ht="13.5">
      <c r="A150" s="3" t="s">
        <v>90</v>
      </c>
      <c r="B150" s="55">
        <v>28</v>
      </c>
      <c r="C150" s="6">
        <v>10</v>
      </c>
      <c r="D150" s="6">
        <v>2.5</v>
      </c>
      <c r="E150" s="25">
        <v>10250</v>
      </c>
      <c r="F150" s="3">
        <f t="shared" si="17"/>
        <v>0.009877295966495895</v>
      </c>
      <c r="G150" s="39">
        <f t="shared" si="18"/>
        <v>784</v>
      </c>
      <c r="H150" s="36">
        <v>24</v>
      </c>
      <c r="I150" s="15"/>
      <c r="J150" s="46">
        <v>16</v>
      </c>
      <c r="K150" s="6">
        <v>1.5</v>
      </c>
      <c r="L150" s="40">
        <f t="shared" si="19"/>
        <v>0.6666666666666666</v>
      </c>
      <c r="M150" s="3" t="s">
        <v>89</v>
      </c>
      <c r="N150" s="29" t="s">
        <v>145</v>
      </c>
      <c r="O150" s="23" t="s">
        <v>91</v>
      </c>
      <c r="P150" s="130">
        <f t="shared" si="20"/>
        <v>14.588122138</v>
      </c>
    </row>
    <row r="151" spans="1:16" ht="13.5">
      <c r="A151" s="3" t="s">
        <v>90</v>
      </c>
      <c r="B151" s="55">
        <v>28</v>
      </c>
      <c r="C151" s="6">
        <v>10</v>
      </c>
      <c r="D151" s="6">
        <v>2.5</v>
      </c>
      <c r="E151" s="25">
        <v>10250</v>
      </c>
      <c r="F151" s="3">
        <f t="shared" si="17"/>
        <v>0.009877295966495895</v>
      </c>
      <c r="G151" s="39">
        <f t="shared" si="18"/>
        <v>784</v>
      </c>
      <c r="H151" s="36">
        <v>32</v>
      </c>
      <c r="I151" s="15"/>
      <c r="J151" s="46">
        <v>18</v>
      </c>
      <c r="K151" s="6">
        <v>1.78</v>
      </c>
      <c r="L151" s="40">
        <f t="shared" si="19"/>
        <v>0.5617977528089888</v>
      </c>
      <c r="M151" s="3" t="s">
        <v>89</v>
      </c>
      <c r="N151" s="29" t="s">
        <v>145</v>
      </c>
      <c r="O151" s="23" t="s">
        <v>91</v>
      </c>
      <c r="P151" s="130">
        <f t="shared" si="20"/>
        <v>19.86222785</v>
      </c>
    </row>
    <row r="152" spans="1:16" ht="13.5">
      <c r="A152" s="3" t="s">
        <v>90</v>
      </c>
      <c r="B152" s="55">
        <v>28</v>
      </c>
      <c r="C152" s="6">
        <v>10</v>
      </c>
      <c r="D152" s="6">
        <v>2.5</v>
      </c>
      <c r="E152" s="25">
        <v>10250</v>
      </c>
      <c r="F152" s="3">
        <f t="shared" si="17"/>
        <v>0.009877295966495895</v>
      </c>
      <c r="G152" s="39">
        <f t="shared" si="18"/>
        <v>784</v>
      </c>
      <c r="H152" s="36">
        <v>36</v>
      </c>
      <c r="I152" s="15"/>
      <c r="J152" s="46">
        <v>24</v>
      </c>
      <c r="K152" s="6">
        <v>1.5</v>
      </c>
      <c r="L152" s="40">
        <f t="shared" si="19"/>
        <v>0.6666666666666666</v>
      </c>
      <c r="M152" s="3" t="s">
        <v>89</v>
      </c>
      <c r="N152" s="29" t="s">
        <v>145</v>
      </c>
      <c r="O152" s="23" t="s">
        <v>91</v>
      </c>
      <c r="P152" s="130">
        <f t="shared" si="20"/>
        <v>22.499280706</v>
      </c>
    </row>
    <row r="153" spans="1:16" ht="13.5">
      <c r="A153" s="3" t="s">
        <v>90</v>
      </c>
      <c r="B153" s="55">
        <v>28</v>
      </c>
      <c r="C153" s="6">
        <v>10</v>
      </c>
      <c r="D153" s="6">
        <v>2.5</v>
      </c>
      <c r="E153" s="25">
        <v>10250</v>
      </c>
      <c r="F153" s="3">
        <f t="shared" si="17"/>
        <v>0.009877295966495895</v>
      </c>
      <c r="G153" s="39">
        <f t="shared" si="18"/>
        <v>784</v>
      </c>
      <c r="H153" s="36">
        <v>42</v>
      </c>
      <c r="I153" s="15"/>
      <c r="J153" s="46">
        <v>29</v>
      </c>
      <c r="K153" s="6">
        <v>1.45</v>
      </c>
      <c r="L153" s="40">
        <f t="shared" si="19"/>
        <v>0.6896551724137931</v>
      </c>
      <c r="M153" s="3" t="s">
        <v>89</v>
      </c>
      <c r="N153" s="29" t="s">
        <v>145</v>
      </c>
      <c r="O153" s="23" t="s">
        <v>91</v>
      </c>
      <c r="P153" s="130">
        <f t="shared" si="20"/>
        <v>26.45485999</v>
      </c>
    </row>
    <row r="154" spans="1:16" ht="13.5">
      <c r="A154" s="3" t="s">
        <v>90</v>
      </c>
      <c r="B154" s="55">
        <v>28</v>
      </c>
      <c r="C154" s="6">
        <v>10</v>
      </c>
      <c r="D154" s="6">
        <v>2.5</v>
      </c>
      <c r="E154" s="25">
        <v>10250</v>
      </c>
      <c r="F154" s="3">
        <f t="shared" si="17"/>
        <v>0.009877295966495895</v>
      </c>
      <c r="G154" s="39">
        <f t="shared" si="18"/>
        <v>784</v>
      </c>
      <c r="H154" s="36">
        <v>46</v>
      </c>
      <c r="I154" s="15"/>
      <c r="J154" s="46">
        <v>34</v>
      </c>
      <c r="K154" s="6">
        <v>1.35</v>
      </c>
      <c r="L154" s="40">
        <f t="shared" si="19"/>
        <v>0.7407407407407407</v>
      </c>
      <c r="M154" s="3" t="s">
        <v>89</v>
      </c>
      <c r="N154" s="29" t="s">
        <v>145</v>
      </c>
      <c r="O154" s="23" t="s">
        <v>91</v>
      </c>
      <c r="P154" s="130">
        <f t="shared" si="20"/>
        <v>29.091912846</v>
      </c>
    </row>
    <row r="155" spans="1:16" ht="13.5">
      <c r="A155" s="3" t="s">
        <v>90</v>
      </c>
      <c r="B155" s="55">
        <v>28</v>
      </c>
      <c r="C155" s="6">
        <v>10</v>
      </c>
      <c r="D155" s="6">
        <v>2.5</v>
      </c>
      <c r="E155" s="25">
        <v>10250</v>
      </c>
      <c r="F155" s="3">
        <f t="shared" si="17"/>
        <v>0.009877295966495895</v>
      </c>
      <c r="G155" s="39">
        <f t="shared" si="18"/>
        <v>784</v>
      </c>
      <c r="H155" s="36">
        <v>50</v>
      </c>
      <c r="I155" s="15"/>
      <c r="J155" s="46">
        <v>39</v>
      </c>
      <c r="K155" s="6">
        <v>1.28</v>
      </c>
      <c r="L155" s="40">
        <f t="shared" si="19"/>
        <v>0.78125</v>
      </c>
      <c r="M155" s="3" t="s">
        <v>89</v>
      </c>
      <c r="N155" s="29" t="s">
        <v>145</v>
      </c>
      <c r="O155" s="23" t="s">
        <v>91</v>
      </c>
      <c r="P155" s="130">
        <f t="shared" si="20"/>
        <v>31.728965701999996</v>
      </c>
    </row>
    <row r="156" spans="1:16" ht="13.5">
      <c r="A156" s="3" t="s">
        <v>85</v>
      </c>
      <c r="B156" s="55">
        <v>28</v>
      </c>
      <c r="C156" s="6">
        <v>9</v>
      </c>
      <c r="D156" s="6">
        <f>32/12</f>
        <v>2.6666666666666665</v>
      </c>
      <c r="E156" s="25">
        <v>6795</v>
      </c>
      <c r="F156" s="3">
        <f t="shared" si="17"/>
        <v>0.012131242087447317</v>
      </c>
      <c r="G156" s="39">
        <f t="shared" si="18"/>
        <v>784</v>
      </c>
      <c r="H156" s="36">
        <v>18.8</v>
      </c>
      <c r="I156" s="14"/>
      <c r="J156" s="46">
        <v>9.3</v>
      </c>
      <c r="K156" s="6">
        <v>2.02</v>
      </c>
      <c r="L156" s="40">
        <f t="shared" si="19"/>
        <v>0.49504950495049505</v>
      </c>
      <c r="M156" s="3" t="s">
        <v>84</v>
      </c>
      <c r="N156" s="29" t="s">
        <v>142</v>
      </c>
      <c r="O156" s="23" t="s">
        <v>86</v>
      </c>
      <c r="P156" s="130">
        <f t="shared" si="20"/>
        <v>11.159953425200001</v>
      </c>
    </row>
    <row r="157" spans="1:16" ht="13.5">
      <c r="A157" s="3" t="s">
        <v>85</v>
      </c>
      <c r="B157" s="55">
        <v>28</v>
      </c>
      <c r="C157" s="6">
        <v>9</v>
      </c>
      <c r="D157" s="6">
        <f>32/12</f>
        <v>2.6666666666666665</v>
      </c>
      <c r="E157" s="25">
        <v>6795</v>
      </c>
      <c r="F157" s="3">
        <f t="shared" si="17"/>
        <v>0.012131242087447317</v>
      </c>
      <c r="G157" s="39">
        <f t="shared" si="18"/>
        <v>784</v>
      </c>
      <c r="H157" s="36">
        <v>25.6</v>
      </c>
      <c r="I157" s="14"/>
      <c r="J157" s="46">
        <v>12.4</v>
      </c>
      <c r="K157" s="6">
        <v>2.06</v>
      </c>
      <c r="L157" s="40">
        <f t="shared" si="19"/>
        <v>0.4854368932038835</v>
      </c>
      <c r="M157" s="3" t="s">
        <v>84</v>
      </c>
      <c r="N157" s="29" t="s">
        <v>142</v>
      </c>
      <c r="O157" s="23" t="s">
        <v>86</v>
      </c>
      <c r="P157" s="130">
        <f t="shared" si="20"/>
        <v>15.6429432804</v>
      </c>
    </row>
    <row r="158" spans="1:16" ht="13.5">
      <c r="A158" s="3" t="s">
        <v>85</v>
      </c>
      <c r="B158" s="55">
        <v>28</v>
      </c>
      <c r="C158" s="6">
        <v>9</v>
      </c>
      <c r="D158" s="6">
        <f>32/12</f>
        <v>2.6666666666666665</v>
      </c>
      <c r="E158" s="25">
        <v>6795</v>
      </c>
      <c r="F158" s="3">
        <f t="shared" si="17"/>
        <v>0.012131242087447317</v>
      </c>
      <c r="G158" s="39">
        <f t="shared" si="18"/>
        <v>784</v>
      </c>
      <c r="H158" s="36">
        <v>31.8</v>
      </c>
      <c r="I158" s="14"/>
      <c r="J158" s="46">
        <v>15.2</v>
      </c>
      <c r="K158" s="6">
        <v>2.09</v>
      </c>
      <c r="L158" s="40">
        <f t="shared" si="19"/>
        <v>0.47846889952153115</v>
      </c>
      <c r="M158" s="3" t="s">
        <v>84</v>
      </c>
      <c r="N158" s="29" t="s">
        <v>142</v>
      </c>
      <c r="O158" s="23" t="s">
        <v>86</v>
      </c>
      <c r="P158" s="130">
        <f t="shared" si="20"/>
        <v>19.7303752072</v>
      </c>
    </row>
    <row r="159" spans="1:16" ht="13.5">
      <c r="A159" s="3" t="s">
        <v>85</v>
      </c>
      <c r="B159" s="55">
        <v>28</v>
      </c>
      <c r="C159" s="6">
        <v>9</v>
      </c>
      <c r="D159" s="6">
        <f>32/12</f>
        <v>2.6666666666666665</v>
      </c>
      <c r="E159" s="25">
        <v>6795</v>
      </c>
      <c r="F159" s="3">
        <f t="shared" si="17"/>
        <v>0.012131242087447317</v>
      </c>
      <c r="G159" s="39">
        <f t="shared" si="18"/>
        <v>784</v>
      </c>
      <c r="H159" s="36">
        <v>38</v>
      </c>
      <c r="I159" s="14"/>
      <c r="J159" s="46">
        <v>21.4</v>
      </c>
      <c r="K159" s="6">
        <v>1.78</v>
      </c>
      <c r="L159" s="40">
        <f t="shared" si="19"/>
        <v>0.5617977528089888</v>
      </c>
      <c r="M159" s="3" t="s">
        <v>84</v>
      </c>
      <c r="N159" s="29" t="s">
        <v>142</v>
      </c>
      <c r="O159" s="23" t="s">
        <v>86</v>
      </c>
      <c r="P159" s="130">
        <f t="shared" si="20"/>
        <v>23.817807134</v>
      </c>
    </row>
    <row r="160" spans="1:16" ht="13.5">
      <c r="A160" s="3" t="s">
        <v>85</v>
      </c>
      <c r="B160" s="55">
        <v>28</v>
      </c>
      <c r="C160" s="6">
        <v>9</v>
      </c>
      <c r="D160" s="6">
        <f>32/12</f>
        <v>2.6666666666666665</v>
      </c>
      <c r="E160" s="25">
        <v>6795</v>
      </c>
      <c r="F160" s="3">
        <f t="shared" si="17"/>
        <v>0.012131242087447317</v>
      </c>
      <c r="G160" s="39">
        <f t="shared" si="18"/>
        <v>784</v>
      </c>
      <c r="H160" s="36">
        <v>48.6</v>
      </c>
      <c r="I160" s="14"/>
      <c r="J160" s="46">
        <v>35.3</v>
      </c>
      <c r="K160" s="6">
        <v>1.38</v>
      </c>
      <c r="L160" s="40">
        <f t="shared" si="19"/>
        <v>0.7246376811594204</v>
      </c>
      <c r="M160" s="3" t="s">
        <v>84</v>
      </c>
      <c r="N160" s="29" t="s">
        <v>142</v>
      </c>
      <c r="O160" s="23" t="s">
        <v>86</v>
      </c>
      <c r="P160" s="130">
        <f t="shared" si="20"/>
        <v>30.8059972024</v>
      </c>
    </row>
    <row r="161" spans="1:16" ht="13.5">
      <c r="A161" s="3" t="s">
        <v>65</v>
      </c>
      <c r="B161" s="55">
        <v>28.5</v>
      </c>
      <c r="C161" s="6">
        <f>9+5/12</f>
        <v>9.416666666666666</v>
      </c>
      <c r="D161" s="6">
        <f>20/12</f>
        <v>1.6666666666666667</v>
      </c>
      <c r="E161" s="25">
        <v>5000</v>
      </c>
      <c r="F161" s="3">
        <f t="shared" si="17"/>
        <v>0.01414213562373095</v>
      </c>
      <c r="G161" s="39">
        <f t="shared" si="18"/>
        <v>812.25</v>
      </c>
      <c r="H161" s="36">
        <v>23.8</v>
      </c>
      <c r="I161" s="14"/>
      <c r="J161" s="46">
        <v>9.3</v>
      </c>
      <c r="K161" s="6">
        <f aca="true" t="shared" si="21" ref="K161:K192">H161/J161</f>
        <v>2.5591397849462365</v>
      </c>
      <c r="L161" s="40">
        <f t="shared" si="19"/>
        <v>0.3907563025210084</v>
      </c>
      <c r="M161" s="3" t="s">
        <v>64</v>
      </c>
      <c r="N161" s="29" t="s">
        <v>66</v>
      </c>
      <c r="O161" s="23" t="s">
        <v>76</v>
      </c>
      <c r="P161" s="130">
        <f t="shared" si="20"/>
        <v>14.9266946537</v>
      </c>
    </row>
    <row r="162" spans="1:16" ht="13.5">
      <c r="A162" s="3" t="s">
        <v>65</v>
      </c>
      <c r="B162" s="55">
        <v>28.5</v>
      </c>
      <c r="C162" s="6">
        <f>9+5/12</f>
        <v>9.416666666666666</v>
      </c>
      <c r="D162" s="6">
        <f>20/12</f>
        <v>1.6666666666666667</v>
      </c>
      <c r="E162" s="25">
        <v>5000</v>
      </c>
      <c r="F162" s="3">
        <f t="shared" si="17"/>
        <v>0.01414213562373095</v>
      </c>
      <c r="G162" s="39">
        <f t="shared" si="18"/>
        <v>812.25</v>
      </c>
      <c r="H162" s="36">
        <v>56.4</v>
      </c>
      <c r="I162" s="14"/>
      <c r="J162" s="46">
        <v>38.6</v>
      </c>
      <c r="K162" s="6">
        <f t="shared" si="21"/>
        <v>1.4611398963730569</v>
      </c>
      <c r="L162" s="40">
        <f t="shared" si="19"/>
        <v>0.6843971631205674</v>
      </c>
      <c r="M162" s="3" t="s">
        <v>64</v>
      </c>
      <c r="N162" s="29" t="s">
        <v>66</v>
      </c>
      <c r="O162" s="23" t="s">
        <v>76</v>
      </c>
      <c r="P162" s="130">
        <f t="shared" si="20"/>
        <v>36.418675430099995</v>
      </c>
    </row>
    <row r="163" spans="1:16" ht="13.5">
      <c r="A163" s="3" t="s">
        <v>6</v>
      </c>
      <c r="B163" s="55">
        <v>29.5</v>
      </c>
      <c r="C163" s="6">
        <v>10.5</v>
      </c>
      <c r="D163" s="6">
        <v>2.666667</v>
      </c>
      <c r="E163" s="25">
        <v>10000</v>
      </c>
      <c r="F163" s="3">
        <f t="shared" si="17"/>
        <v>0.01</v>
      </c>
      <c r="G163" s="39">
        <f t="shared" si="18"/>
        <v>870.25</v>
      </c>
      <c r="H163" s="37">
        <f>I163*I$2</f>
        <v>26.468400000000003</v>
      </c>
      <c r="I163" s="14">
        <v>23</v>
      </c>
      <c r="J163" s="46">
        <v>10.8</v>
      </c>
      <c r="K163" s="6">
        <f t="shared" si="21"/>
        <v>2.4507777777777777</v>
      </c>
      <c r="L163" s="40">
        <f t="shared" si="19"/>
        <v>0.4080337307884119</v>
      </c>
      <c r="M163" s="3" t="s">
        <v>5</v>
      </c>
      <c r="N163" s="29" t="s">
        <v>7</v>
      </c>
      <c r="O163" s="23" t="s">
        <v>76</v>
      </c>
      <c r="P163" s="130">
        <f t="shared" si="20"/>
        <v>17.651701257937603</v>
      </c>
    </row>
    <row r="164" spans="1:16" ht="13.5">
      <c r="A164" s="3" t="s">
        <v>6</v>
      </c>
      <c r="B164" s="55">
        <v>29.5</v>
      </c>
      <c r="C164" s="6">
        <v>10.5</v>
      </c>
      <c r="D164" s="6">
        <v>2.666667</v>
      </c>
      <c r="E164" s="25">
        <v>10000</v>
      </c>
      <c r="F164" s="3">
        <f t="shared" si="17"/>
        <v>0.01</v>
      </c>
      <c r="G164" s="39">
        <f t="shared" si="18"/>
        <v>870.25</v>
      </c>
      <c r="H164" s="37">
        <f>I164*I$2</f>
        <v>31.762080000000005</v>
      </c>
      <c r="I164" s="14">
        <v>27.6</v>
      </c>
      <c r="J164" s="46">
        <v>17</v>
      </c>
      <c r="K164" s="6">
        <f t="shared" si="21"/>
        <v>1.868357647058824</v>
      </c>
      <c r="L164" s="40">
        <f t="shared" si="19"/>
        <v>0.5352294308181327</v>
      </c>
      <c r="M164" s="3" t="s">
        <v>5</v>
      </c>
      <c r="N164" s="29" t="s">
        <v>7</v>
      </c>
      <c r="O164" s="23" t="s">
        <v>76</v>
      </c>
      <c r="P164" s="130">
        <f t="shared" si="20"/>
        <v>21.14162974862512</v>
      </c>
    </row>
    <row r="165" spans="1:16" ht="13.5">
      <c r="A165" s="3" t="s">
        <v>58</v>
      </c>
      <c r="B165" s="55">
        <v>31.1666</v>
      </c>
      <c r="C165" s="6">
        <v>12</v>
      </c>
      <c r="D165" s="6">
        <v>3</v>
      </c>
      <c r="E165" s="25">
        <v>11500</v>
      </c>
      <c r="F165" s="3">
        <f t="shared" si="17"/>
        <v>0.009325048082403139</v>
      </c>
      <c r="G165" s="39">
        <f t="shared" si="18"/>
        <v>971.35695556</v>
      </c>
      <c r="H165" s="36">
        <v>30</v>
      </c>
      <c r="I165" s="14"/>
      <c r="J165" s="46">
        <v>23</v>
      </c>
      <c r="K165" s="6">
        <f t="shared" si="21"/>
        <v>1.3043478260869565</v>
      </c>
      <c r="L165" s="40">
        <f t="shared" si="19"/>
        <v>0.7666666666666666</v>
      </c>
      <c r="M165" s="3" t="s">
        <v>57</v>
      </c>
      <c r="N165" s="29" t="s">
        <v>59</v>
      </c>
      <c r="O165" s="23" t="s">
        <v>76</v>
      </c>
      <c r="P165" s="130">
        <f t="shared" si="20"/>
        <v>21.663610289801433</v>
      </c>
    </row>
    <row r="166" spans="1:16" ht="13.5">
      <c r="A166" s="3" t="s">
        <v>41</v>
      </c>
      <c r="B166" s="55">
        <v>31.8333</v>
      </c>
      <c r="C166" s="6">
        <v>11.5</v>
      </c>
      <c r="D166" s="6">
        <v>2.6666</v>
      </c>
      <c r="E166" s="25">
        <v>10000</v>
      </c>
      <c r="F166" s="3">
        <f t="shared" si="17"/>
        <v>0.01</v>
      </c>
      <c r="G166" s="39">
        <f t="shared" si="18"/>
        <v>1013.3589888900001</v>
      </c>
      <c r="H166" s="37">
        <f>I166*I$2</f>
        <v>28.77</v>
      </c>
      <c r="I166" s="14">
        <v>25</v>
      </c>
      <c r="J166" s="46">
        <v>16</v>
      </c>
      <c r="K166" s="6">
        <f t="shared" si="21"/>
        <v>1.798125</v>
      </c>
      <c r="L166" s="40">
        <f t="shared" si="19"/>
        <v>0.5561348627042058</v>
      </c>
      <c r="M166" s="3" t="s">
        <v>40</v>
      </c>
      <c r="N166" s="29" t="s">
        <v>42</v>
      </c>
      <c r="O166" s="23" t="s">
        <v>76</v>
      </c>
      <c r="P166" s="130">
        <f t="shared" si="20"/>
        <v>21.55214355203586</v>
      </c>
    </row>
    <row r="167" spans="1:16" ht="13.5">
      <c r="A167" s="3" t="s">
        <v>176</v>
      </c>
      <c r="B167" s="53">
        <v>32.083333333333336</v>
      </c>
      <c r="C167" s="5">
        <v>10.583333333333334</v>
      </c>
      <c r="E167" s="25">
        <v>12854</v>
      </c>
      <c r="F167" s="3">
        <f t="shared" si="17"/>
        <v>0.008820249133219276</v>
      </c>
      <c r="G167" s="39">
        <f t="shared" si="18"/>
        <v>1029.3402777777778</v>
      </c>
      <c r="H167" s="38">
        <v>3.6</v>
      </c>
      <c r="I167" s="7">
        <v>3.1</v>
      </c>
      <c r="J167" s="44">
        <v>0.6</v>
      </c>
      <c r="K167" s="6">
        <f t="shared" si="21"/>
        <v>6</v>
      </c>
      <c r="L167" s="40">
        <f t="shared" si="19"/>
        <v>0.16666666666666666</v>
      </c>
      <c r="M167" s="4" t="s">
        <v>169</v>
      </c>
      <c r="N167" s="32" t="s">
        <v>177</v>
      </c>
      <c r="O167" s="21" t="s">
        <v>181</v>
      </c>
      <c r="P167" s="130">
        <f t="shared" si="20"/>
        <v>5.224612362136114</v>
      </c>
    </row>
    <row r="168" spans="1:16" ht="13.5">
      <c r="A168" s="3" t="s">
        <v>176</v>
      </c>
      <c r="B168" s="53">
        <v>32.083333333333336</v>
      </c>
      <c r="C168" s="5">
        <v>10.583333333333334</v>
      </c>
      <c r="E168" s="25">
        <v>12854</v>
      </c>
      <c r="F168" s="3">
        <f t="shared" si="17"/>
        <v>0.008820249133219276</v>
      </c>
      <c r="G168" s="39">
        <f t="shared" si="18"/>
        <v>1029.3402777777778</v>
      </c>
      <c r="H168" s="38">
        <v>4.9</v>
      </c>
      <c r="I168" s="7">
        <v>4.3</v>
      </c>
      <c r="J168" s="44">
        <v>1.4</v>
      </c>
      <c r="K168" s="6">
        <f t="shared" si="21"/>
        <v>3.5000000000000004</v>
      </c>
      <c r="L168" s="40">
        <f t="shared" si="19"/>
        <v>0.2857142857142857</v>
      </c>
      <c r="M168" s="4" t="s">
        <v>169</v>
      </c>
      <c r="N168" s="32" t="s">
        <v>177</v>
      </c>
      <c r="O168" s="21" t="s">
        <v>181</v>
      </c>
      <c r="P168" s="130">
        <f t="shared" si="20"/>
        <v>6.081654540336114</v>
      </c>
    </row>
    <row r="169" spans="1:16" ht="13.5">
      <c r="A169" s="3" t="s">
        <v>176</v>
      </c>
      <c r="B169" s="53">
        <v>32.083333333333336</v>
      </c>
      <c r="C169" s="5">
        <v>10.583333333333334</v>
      </c>
      <c r="E169" s="25">
        <v>12854</v>
      </c>
      <c r="F169" s="3">
        <f t="shared" si="17"/>
        <v>0.008820249133219276</v>
      </c>
      <c r="G169" s="39">
        <f t="shared" si="18"/>
        <v>1029.3402777777778</v>
      </c>
      <c r="H169" s="38">
        <v>7.4</v>
      </c>
      <c r="I169" s="7">
        <v>6.4</v>
      </c>
      <c r="J169" s="46">
        <v>2.8</v>
      </c>
      <c r="K169" s="6">
        <f t="shared" si="21"/>
        <v>2.6428571428571432</v>
      </c>
      <c r="L169" s="40">
        <f t="shared" si="19"/>
        <v>0.37837837837837834</v>
      </c>
      <c r="M169" s="4" t="s">
        <v>169</v>
      </c>
      <c r="N169" s="32" t="s">
        <v>177</v>
      </c>
      <c r="O169" s="21" t="s">
        <v>181</v>
      </c>
      <c r="P169" s="130">
        <f t="shared" si="20"/>
        <v>7.729812575336114</v>
      </c>
    </row>
    <row r="170" spans="1:16" ht="13.5">
      <c r="A170" s="3" t="s">
        <v>176</v>
      </c>
      <c r="B170" s="53">
        <v>32.083333333333336</v>
      </c>
      <c r="C170" s="5">
        <v>10.583333333333334</v>
      </c>
      <c r="E170" s="25">
        <v>12854</v>
      </c>
      <c r="F170" s="3">
        <f t="shared" si="17"/>
        <v>0.008820249133219276</v>
      </c>
      <c r="G170" s="39">
        <f t="shared" si="18"/>
        <v>1029.3402777777778</v>
      </c>
      <c r="H170" s="38">
        <v>9.2</v>
      </c>
      <c r="I170" s="7">
        <v>8</v>
      </c>
      <c r="J170" s="46">
        <v>5.2</v>
      </c>
      <c r="K170" s="6">
        <f t="shared" si="21"/>
        <v>1.769230769230769</v>
      </c>
      <c r="L170" s="40">
        <f t="shared" si="19"/>
        <v>0.5652173913043479</v>
      </c>
      <c r="M170" s="4" t="s">
        <v>169</v>
      </c>
      <c r="N170" s="32" t="s">
        <v>177</v>
      </c>
      <c r="O170" s="21" t="s">
        <v>181</v>
      </c>
      <c r="P170" s="130">
        <f t="shared" si="20"/>
        <v>8.916486360536112</v>
      </c>
    </row>
    <row r="171" spans="1:16" ht="13.5">
      <c r="A171" s="3" t="s">
        <v>176</v>
      </c>
      <c r="B171" s="53">
        <v>32.083333333333336</v>
      </c>
      <c r="C171" s="5">
        <v>10.583333333333334</v>
      </c>
      <c r="E171" s="25">
        <v>12854</v>
      </c>
      <c r="F171" s="3">
        <f t="shared" si="17"/>
        <v>0.008820249133219276</v>
      </c>
      <c r="G171" s="39">
        <f t="shared" si="18"/>
        <v>1029.3402777777778</v>
      </c>
      <c r="H171" s="38">
        <v>10.5</v>
      </c>
      <c r="I171" s="7">
        <v>9.1</v>
      </c>
      <c r="J171" s="46">
        <v>8.9</v>
      </c>
      <c r="K171" s="6">
        <f t="shared" si="21"/>
        <v>1.1797752808988764</v>
      </c>
      <c r="L171" s="40">
        <f t="shared" si="19"/>
        <v>0.8476190476190476</v>
      </c>
      <c r="M171" s="4" t="s">
        <v>169</v>
      </c>
      <c r="N171" s="32" t="s">
        <v>177</v>
      </c>
      <c r="O171" s="21" t="s">
        <v>181</v>
      </c>
      <c r="P171" s="130">
        <f t="shared" si="20"/>
        <v>9.773528538736112</v>
      </c>
    </row>
    <row r="172" spans="1:16" ht="13.5">
      <c r="A172" s="3" t="s">
        <v>176</v>
      </c>
      <c r="B172" s="53">
        <v>32.083333333333336</v>
      </c>
      <c r="C172" s="5">
        <v>10.583333333333334</v>
      </c>
      <c r="E172" s="25">
        <v>12854</v>
      </c>
      <c r="F172" s="3">
        <f t="shared" si="17"/>
        <v>0.008820249133219276</v>
      </c>
      <c r="G172" s="39">
        <f t="shared" si="18"/>
        <v>1029.3402777777778</v>
      </c>
      <c r="H172" s="38">
        <v>11</v>
      </c>
      <c r="I172" s="7">
        <v>9.6</v>
      </c>
      <c r="J172" s="46">
        <v>10.9</v>
      </c>
      <c r="K172" s="6">
        <f t="shared" si="21"/>
        <v>1.0091743119266054</v>
      </c>
      <c r="L172" s="40">
        <f t="shared" si="19"/>
        <v>0.990909090909091</v>
      </c>
      <c r="M172" s="4" t="s">
        <v>169</v>
      </c>
      <c r="N172" s="32" t="s">
        <v>177</v>
      </c>
      <c r="O172" s="21" t="s">
        <v>181</v>
      </c>
      <c r="P172" s="130">
        <f t="shared" si="20"/>
        <v>10.103160145736114</v>
      </c>
    </row>
    <row r="173" spans="1:16" ht="13.5">
      <c r="A173" s="3" t="s">
        <v>176</v>
      </c>
      <c r="B173" s="53">
        <v>32.083333333333336</v>
      </c>
      <c r="C173" s="5">
        <v>10.583333333333334</v>
      </c>
      <c r="E173" s="25">
        <v>12854</v>
      </c>
      <c r="F173" s="3">
        <f t="shared" si="17"/>
        <v>0.008820249133219276</v>
      </c>
      <c r="G173" s="39">
        <f t="shared" si="18"/>
        <v>1029.3402777777778</v>
      </c>
      <c r="H173" s="38">
        <v>11.7</v>
      </c>
      <c r="I173" s="7">
        <v>10.2</v>
      </c>
      <c r="J173" s="46">
        <v>11.9</v>
      </c>
      <c r="K173" s="6">
        <f t="shared" si="21"/>
        <v>0.9831932773109243</v>
      </c>
      <c r="L173" s="40">
        <f t="shared" si="19"/>
        <v>1.0170940170940173</v>
      </c>
      <c r="M173" s="4" t="s">
        <v>169</v>
      </c>
      <c r="N173" s="32" t="s">
        <v>177</v>
      </c>
      <c r="O173" s="21" t="s">
        <v>181</v>
      </c>
      <c r="P173" s="130">
        <f t="shared" si="20"/>
        <v>10.564644395536114</v>
      </c>
    </row>
    <row r="174" spans="1:16" ht="13.5">
      <c r="A174" s="3" t="s">
        <v>176</v>
      </c>
      <c r="B174" s="53">
        <v>32.083333333333336</v>
      </c>
      <c r="C174" s="5">
        <v>10.583333333333334</v>
      </c>
      <c r="E174" s="25">
        <v>12854</v>
      </c>
      <c r="F174" s="3">
        <f t="shared" si="17"/>
        <v>0.008820249133219276</v>
      </c>
      <c r="G174" s="39">
        <f t="shared" si="18"/>
        <v>1029.3402777777778</v>
      </c>
      <c r="H174" s="38">
        <v>13.7</v>
      </c>
      <c r="I174" s="7">
        <v>11.9</v>
      </c>
      <c r="J174" s="46">
        <v>12.9</v>
      </c>
      <c r="K174" s="6">
        <f t="shared" si="21"/>
        <v>1.0620155038759689</v>
      </c>
      <c r="L174" s="40">
        <f t="shared" si="19"/>
        <v>0.9416058394160585</v>
      </c>
      <c r="M174" s="4" t="s">
        <v>169</v>
      </c>
      <c r="N174" s="32" t="s">
        <v>177</v>
      </c>
      <c r="O174" s="21" t="s">
        <v>181</v>
      </c>
      <c r="P174" s="130">
        <f t="shared" si="20"/>
        <v>11.883170823536114</v>
      </c>
    </row>
    <row r="175" spans="1:16" ht="13.5">
      <c r="A175" s="3" t="s">
        <v>176</v>
      </c>
      <c r="B175" s="53">
        <v>32.083333333333336</v>
      </c>
      <c r="C175" s="5">
        <v>10.583333333333334</v>
      </c>
      <c r="E175" s="25">
        <v>12854</v>
      </c>
      <c r="F175" s="3">
        <f t="shared" si="17"/>
        <v>0.008820249133219276</v>
      </c>
      <c r="G175" s="39">
        <f t="shared" si="18"/>
        <v>1029.3402777777778</v>
      </c>
      <c r="H175" s="38">
        <v>23.2</v>
      </c>
      <c r="I175" s="7">
        <v>20.1</v>
      </c>
      <c r="J175" s="46">
        <v>17.2</v>
      </c>
      <c r="K175" s="6">
        <f t="shared" si="21"/>
        <v>1.3488372093023255</v>
      </c>
      <c r="L175" s="40">
        <f t="shared" si="19"/>
        <v>0.7413793103448276</v>
      </c>
      <c r="M175" s="4" t="s">
        <v>169</v>
      </c>
      <c r="N175" s="32" t="s">
        <v>177</v>
      </c>
      <c r="O175" s="21" t="s">
        <v>181</v>
      </c>
      <c r="P175" s="130">
        <f t="shared" si="20"/>
        <v>18.146171356536115</v>
      </c>
    </row>
    <row r="176" spans="1:16" ht="13.5">
      <c r="A176" s="3" t="s">
        <v>176</v>
      </c>
      <c r="B176" s="53">
        <v>32.083333333333336</v>
      </c>
      <c r="C176" s="5">
        <v>10.583333333333334</v>
      </c>
      <c r="E176" s="25">
        <v>12854</v>
      </c>
      <c r="F176" s="3">
        <f t="shared" si="17"/>
        <v>0.008820249133219276</v>
      </c>
      <c r="G176" s="39">
        <f t="shared" si="18"/>
        <v>1029.3402777777778</v>
      </c>
      <c r="H176" s="38">
        <v>28.9</v>
      </c>
      <c r="I176" s="7">
        <v>25.1</v>
      </c>
      <c r="J176" s="46">
        <v>21.2</v>
      </c>
      <c r="K176" s="6">
        <f t="shared" si="21"/>
        <v>1.3632075471698113</v>
      </c>
      <c r="L176" s="40">
        <f t="shared" si="19"/>
        <v>0.7335640138408305</v>
      </c>
      <c r="M176" s="4" t="s">
        <v>169</v>
      </c>
      <c r="N176" s="32" t="s">
        <v>177</v>
      </c>
      <c r="O176" s="21" t="s">
        <v>181</v>
      </c>
      <c r="P176" s="130">
        <f t="shared" si="20"/>
        <v>21.903971676336113</v>
      </c>
    </row>
    <row r="177" spans="1:16" ht="13.5">
      <c r="A177" s="3" t="s">
        <v>176</v>
      </c>
      <c r="B177" s="53">
        <v>32.083333333333336</v>
      </c>
      <c r="C177" s="5">
        <v>10.583333333333334</v>
      </c>
      <c r="E177" s="25">
        <v>12854</v>
      </c>
      <c r="F177" s="3">
        <f t="shared" si="17"/>
        <v>0.008820249133219276</v>
      </c>
      <c r="G177" s="39">
        <f t="shared" si="18"/>
        <v>1029.3402777777778</v>
      </c>
      <c r="H177" s="38">
        <v>33</v>
      </c>
      <c r="I177" s="7">
        <v>28.7</v>
      </c>
      <c r="J177" s="46">
        <v>25.9</v>
      </c>
      <c r="K177" s="6">
        <f t="shared" si="21"/>
        <v>1.2741312741312742</v>
      </c>
      <c r="L177" s="40">
        <f t="shared" si="19"/>
        <v>0.7848484848484848</v>
      </c>
      <c r="M177" s="4" t="s">
        <v>169</v>
      </c>
      <c r="N177" s="32" t="s">
        <v>177</v>
      </c>
      <c r="O177" s="21" t="s">
        <v>181</v>
      </c>
      <c r="P177" s="130">
        <f t="shared" si="20"/>
        <v>24.606950853736112</v>
      </c>
    </row>
    <row r="178" spans="1:16" ht="13.5">
      <c r="A178" s="3" t="s">
        <v>176</v>
      </c>
      <c r="B178" s="53">
        <v>32.083333333333336</v>
      </c>
      <c r="C178" s="5">
        <v>10.583333333333334</v>
      </c>
      <c r="E178" s="25">
        <v>12854</v>
      </c>
      <c r="F178" s="3">
        <f t="shared" si="17"/>
        <v>0.008820249133219276</v>
      </c>
      <c r="G178" s="39">
        <f t="shared" si="18"/>
        <v>1029.3402777777778</v>
      </c>
      <c r="H178" s="38">
        <v>37.7</v>
      </c>
      <c r="I178" s="7">
        <v>32.7</v>
      </c>
      <c r="J178" s="46">
        <v>32.3</v>
      </c>
      <c r="K178" s="6">
        <f t="shared" si="21"/>
        <v>1.1671826625386998</v>
      </c>
      <c r="L178" s="40">
        <f t="shared" si="19"/>
        <v>0.8567639257294428</v>
      </c>
      <c r="M178" s="4" t="s">
        <v>169</v>
      </c>
      <c r="N178" s="32" t="s">
        <v>177</v>
      </c>
      <c r="O178" s="21" t="s">
        <v>181</v>
      </c>
      <c r="P178" s="130">
        <f t="shared" si="20"/>
        <v>27.705487959536114</v>
      </c>
    </row>
    <row r="179" spans="1:16" ht="13.5">
      <c r="A179" s="3" t="s">
        <v>176</v>
      </c>
      <c r="B179" s="53">
        <v>32.083333333333336</v>
      </c>
      <c r="C179" s="5">
        <v>10.583333333333334</v>
      </c>
      <c r="E179" s="25">
        <v>12854</v>
      </c>
      <c r="F179" s="3">
        <f t="shared" si="17"/>
        <v>0.008820249133219276</v>
      </c>
      <c r="G179" s="39">
        <f t="shared" si="18"/>
        <v>1029.3402777777778</v>
      </c>
      <c r="H179" s="38">
        <v>42</v>
      </c>
      <c r="I179" s="7">
        <v>36.5</v>
      </c>
      <c r="J179" s="46">
        <v>39</v>
      </c>
      <c r="K179" s="6">
        <f t="shared" si="21"/>
        <v>1.0769230769230769</v>
      </c>
      <c r="L179" s="40">
        <f t="shared" si="19"/>
        <v>0.9285714285714286</v>
      </c>
      <c r="M179" s="4" t="s">
        <v>169</v>
      </c>
      <c r="N179" s="32" t="s">
        <v>177</v>
      </c>
      <c r="O179" s="21" t="s">
        <v>181</v>
      </c>
      <c r="P179" s="130">
        <f t="shared" si="20"/>
        <v>30.540319779736112</v>
      </c>
    </row>
    <row r="180" spans="1:16" ht="13.5">
      <c r="A180" s="3" t="s">
        <v>176</v>
      </c>
      <c r="B180" s="53">
        <v>32.083333333333336</v>
      </c>
      <c r="C180" s="5">
        <v>10.583333333333334</v>
      </c>
      <c r="E180" s="25">
        <v>12854</v>
      </c>
      <c r="F180" s="3">
        <f t="shared" si="17"/>
        <v>0.008820249133219276</v>
      </c>
      <c r="G180" s="39">
        <f t="shared" si="18"/>
        <v>1029.3402777777778</v>
      </c>
      <c r="H180" s="38">
        <v>44.3</v>
      </c>
      <c r="I180" s="7">
        <v>38.5</v>
      </c>
      <c r="J180" s="46">
        <v>41.9</v>
      </c>
      <c r="K180" s="6">
        <f t="shared" si="21"/>
        <v>1.0572792362768497</v>
      </c>
      <c r="L180" s="40">
        <f t="shared" si="19"/>
        <v>0.9458239277652369</v>
      </c>
      <c r="M180" s="4" t="s">
        <v>169</v>
      </c>
      <c r="N180" s="32" t="s">
        <v>177</v>
      </c>
      <c r="O180" s="21" t="s">
        <v>181</v>
      </c>
      <c r="P180" s="130">
        <f t="shared" si="20"/>
        <v>32.05662517193611</v>
      </c>
    </row>
    <row r="181" spans="1:16" ht="13.5">
      <c r="A181" s="3" t="s">
        <v>168</v>
      </c>
      <c r="B181" s="53">
        <v>32.16666</v>
      </c>
      <c r="C181" s="5">
        <v>10.166666</v>
      </c>
      <c r="E181" s="25">
        <v>11097</v>
      </c>
      <c r="F181" s="3">
        <f t="shared" si="17"/>
        <v>0.009492862863519566</v>
      </c>
      <c r="G181" s="39">
        <f t="shared" si="18"/>
        <v>1034.6940155556001</v>
      </c>
      <c r="H181" s="38">
        <v>3.6</v>
      </c>
      <c r="I181" s="7">
        <v>3.1</v>
      </c>
      <c r="J181" s="44">
        <v>0.6</v>
      </c>
      <c r="K181" s="6">
        <f t="shared" si="21"/>
        <v>6</v>
      </c>
      <c r="L181" s="40">
        <f t="shared" si="19"/>
        <v>0.16666666666666666</v>
      </c>
      <c r="M181" s="4" t="s">
        <v>169</v>
      </c>
      <c r="N181" s="32" t="s">
        <v>170</v>
      </c>
      <c r="O181" s="21" t="s">
        <v>181</v>
      </c>
      <c r="P181" s="130">
        <f t="shared" si="20"/>
        <v>5.313763970727244</v>
      </c>
    </row>
    <row r="182" spans="1:16" ht="13.5">
      <c r="A182" s="3" t="s">
        <v>168</v>
      </c>
      <c r="B182" s="53">
        <v>32.16666</v>
      </c>
      <c r="C182" s="5">
        <v>10.166666</v>
      </c>
      <c r="E182" s="25">
        <v>11097</v>
      </c>
      <c r="F182" s="3">
        <f t="shared" si="17"/>
        <v>0.009492862863519566</v>
      </c>
      <c r="G182" s="39">
        <f t="shared" si="18"/>
        <v>1034.6940155556001</v>
      </c>
      <c r="H182" s="38">
        <v>6</v>
      </c>
      <c r="I182" s="7">
        <v>5.2</v>
      </c>
      <c r="J182" s="44">
        <v>1.6</v>
      </c>
      <c r="K182" s="6">
        <f t="shared" si="21"/>
        <v>3.75</v>
      </c>
      <c r="L182" s="40">
        <f t="shared" si="19"/>
        <v>0.26666666666666666</v>
      </c>
      <c r="M182" s="4" t="s">
        <v>169</v>
      </c>
      <c r="N182" s="32" t="s">
        <v>170</v>
      </c>
      <c r="O182" s="21" t="s">
        <v>181</v>
      </c>
      <c r="P182" s="130">
        <f t="shared" si="20"/>
        <v>6.895995684327244</v>
      </c>
    </row>
    <row r="183" spans="1:16" ht="13.5">
      <c r="A183" s="3" t="s">
        <v>168</v>
      </c>
      <c r="B183" s="53">
        <v>32.16666</v>
      </c>
      <c r="C183" s="5">
        <v>10.166666</v>
      </c>
      <c r="E183" s="25">
        <v>11097</v>
      </c>
      <c r="F183" s="3">
        <f t="shared" si="17"/>
        <v>0.009492862863519566</v>
      </c>
      <c r="G183" s="39">
        <f t="shared" si="18"/>
        <v>1034.6940155556001</v>
      </c>
      <c r="H183" s="38">
        <v>8</v>
      </c>
      <c r="I183" s="7">
        <v>6.9</v>
      </c>
      <c r="J183" s="46">
        <v>3</v>
      </c>
      <c r="K183" s="6">
        <f t="shared" si="21"/>
        <v>2.6666666666666665</v>
      </c>
      <c r="L183" s="40">
        <f t="shared" si="19"/>
        <v>0.375</v>
      </c>
      <c r="M183" s="4" t="s">
        <v>169</v>
      </c>
      <c r="N183" s="32" t="s">
        <v>170</v>
      </c>
      <c r="O183" s="21" t="s">
        <v>181</v>
      </c>
      <c r="P183" s="130">
        <f t="shared" si="20"/>
        <v>8.214522112327245</v>
      </c>
    </row>
    <row r="184" spans="1:16" ht="13.5">
      <c r="A184" s="3" t="s">
        <v>168</v>
      </c>
      <c r="B184" s="53">
        <v>32.16666</v>
      </c>
      <c r="C184" s="5">
        <v>10.166666</v>
      </c>
      <c r="E184" s="25">
        <v>11097</v>
      </c>
      <c r="F184" s="3">
        <f t="shared" si="17"/>
        <v>0.009492862863519566</v>
      </c>
      <c r="G184" s="39">
        <f t="shared" si="18"/>
        <v>1034.6940155556001</v>
      </c>
      <c r="H184" s="38">
        <v>9.4</v>
      </c>
      <c r="I184" s="7">
        <v>8.2</v>
      </c>
      <c r="J184" s="46">
        <v>5.6</v>
      </c>
      <c r="K184" s="6">
        <f t="shared" si="21"/>
        <v>1.6785714285714288</v>
      </c>
      <c r="L184" s="40">
        <f t="shared" si="19"/>
        <v>0.5957446808510637</v>
      </c>
      <c r="M184" s="4" t="s">
        <v>169</v>
      </c>
      <c r="N184" s="32" t="s">
        <v>170</v>
      </c>
      <c r="O184" s="21" t="s">
        <v>181</v>
      </c>
      <c r="P184" s="130">
        <f t="shared" si="20"/>
        <v>9.137490611927245</v>
      </c>
    </row>
    <row r="185" spans="1:16" ht="13.5">
      <c r="A185" s="3" t="s">
        <v>168</v>
      </c>
      <c r="B185" s="53">
        <v>32.16666</v>
      </c>
      <c r="C185" s="5">
        <v>10.166666</v>
      </c>
      <c r="E185" s="25">
        <v>11097</v>
      </c>
      <c r="F185" s="3">
        <f t="shared" si="17"/>
        <v>0.009492862863519566</v>
      </c>
      <c r="G185" s="39">
        <f t="shared" si="18"/>
        <v>1034.6940155556001</v>
      </c>
      <c r="H185" s="38">
        <v>10.4</v>
      </c>
      <c r="I185" s="7">
        <v>9</v>
      </c>
      <c r="J185" s="46">
        <v>9.4</v>
      </c>
      <c r="K185" s="6">
        <f t="shared" si="21"/>
        <v>1.1063829787234043</v>
      </c>
      <c r="L185" s="40">
        <f t="shared" si="19"/>
        <v>0.9038461538461539</v>
      </c>
      <c r="M185" s="4" t="s">
        <v>169</v>
      </c>
      <c r="N185" s="32" t="s">
        <v>170</v>
      </c>
      <c r="O185" s="21" t="s">
        <v>181</v>
      </c>
      <c r="P185" s="130">
        <f t="shared" si="20"/>
        <v>9.796753825927244</v>
      </c>
    </row>
    <row r="186" spans="1:16" ht="13.5">
      <c r="A186" s="3" t="s">
        <v>168</v>
      </c>
      <c r="B186" s="53">
        <v>32.16666</v>
      </c>
      <c r="C186" s="5">
        <v>10.166666</v>
      </c>
      <c r="E186" s="25">
        <v>11097</v>
      </c>
      <c r="F186" s="3">
        <f t="shared" si="17"/>
        <v>0.009492862863519566</v>
      </c>
      <c r="G186" s="39">
        <f t="shared" si="18"/>
        <v>1034.6940155556001</v>
      </c>
      <c r="H186" s="38">
        <v>12.2</v>
      </c>
      <c r="I186" s="7">
        <v>10.6</v>
      </c>
      <c r="J186" s="46">
        <v>12</v>
      </c>
      <c r="K186" s="6">
        <f t="shared" si="21"/>
        <v>1.0166666666666666</v>
      </c>
      <c r="L186" s="40">
        <f t="shared" si="19"/>
        <v>0.9836065573770493</v>
      </c>
      <c r="M186" s="4" t="s">
        <v>169</v>
      </c>
      <c r="N186" s="32" t="s">
        <v>170</v>
      </c>
      <c r="O186" s="21" t="s">
        <v>181</v>
      </c>
      <c r="P186" s="130">
        <f t="shared" si="20"/>
        <v>10.983427611127244</v>
      </c>
    </row>
    <row r="187" spans="1:16" ht="13.5">
      <c r="A187" s="3" t="s">
        <v>168</v>
      </c>
      <c r="B187" s="53">
        <v>32.16666</v>
      </c>
      <c r="C187" s="5">
        <v>10.166666</v>
      </c>
      <c r="E187" s="25">
        <v>11097</v>
      </c>
      <c r="F187" s="3">
        <f t="shared" si="17"/>
        <v>0.009492862863519566</v>
      </c>
      <c r="G187" s="39">
        <f t="shared" si="18"/>
        <v>1034.6940155556001</v>
      </c>
      <c r="H187" s="38">
        <v>15.2</v>
      </c>
      <c r="I187" s="7">
        <v>13.2</v>
      </c>
      <c r="J187" s="46">
        <v>15</v>
      </c>
      <c r="K187" s="6">
        <f t="shared" si="21"/>
        <v>1.0133333333333332</v>
      </c>
      <c r="L187" s="40">
        <f t="shared" si="19"/>
        <v>0.9868421052631581</v>
      </c>
      <c r="M187" s="4" t="s">
        <v>169</v>
      </c>
      <c r="N187" s="32" t="s">
        <v>170</v>
      </c>
      <c r="O187" s="21" t="s">
        <v>181</v>
      </c>
      <c r="P187" s="130">
        <f t="shared" si="20"/>
        <v>12.961217253127243</v>
      </c>
    </row>
    <row r="188" spans="1:16" ht="13.5">
      <c r="A188" s="3" t="s">
        <v>168</v>
      </c>
      <c r="B188" s="53">
        <v>32.16666</v>
      </c>
      <c r="C188" s="5">
        <v>10.166666</v>
      </c>
      <c r="E188" s="25">
        <v>11097</v>
      </c>
      <c r="F188" s="3">
        <f t="shared" si="17"/>
        <v>0.009492862863519566</v>
      </c>
      <c r="G188" s="39">
        <f t="shared" si="18"/>
        <v>1034.6940155556001</v>
      </c>
      <c r="H188" s="38">
        <v>19.2</v>
      </c>
      <c r="I188" s="7">
        <v>16.7</v>
      </c>
      <c r="J188" s="46">
        <v>14.8</v>
      </c>
      <c r="K188" s="6">
        <f t="shared" si="21"/>
        <v>1.2972972972972971</v>
      </c>
      <c r="L188" s="40">
        <f t="shared" si="19"/>
        <v>0.7708333333333334</v>
      </c>
      <c r="M188" s="4" t="s">
        <v>169</v>
      </c>
      <c r="N188" s="32" t="s">
        <v>170</v>
      </c>
      <c r="O188" s="21" t="s">
        <v>181</v>
      </c>
      <c r="P188" s="130">
        <f t="shared" si="20"/>
        <v>15.598270109127244</v>
      </c>
    </row>
    <row r="189" spans="1:16" ht="13.5">
      <c r="A189" s="3" t="s">
        <v>168</v>
      </c>
      <c r="B189" s="53">
        <v>32.16666</v>
      </c>
      <c r="C189" s="5">
        <v>10.166666</v>
      </c>
      <c r="E189" s="25">
        <v>11097</v>
      </c>
      <c r="F189" s="3">
        <f t="shared" si="17"/>
        <v>0.009492862863519566</v>
      </c>
      <c r="G189" s="39">
        <f t="shared" si="18"/>
        <v>1034.6940155556001</v>
      </c>
      <c r="H189" s="38">
        <v>25.1</v>
      </c>
      <c r="I189" s="7">
        <v>21.8</v>
      </c>
      <c r="J189" s="46">
        <v>16.2</v>
      </c>
      <c r="K189" s="6">
        <f t="shared" si="21"/>
        <v>1.549382716049383</v>
      </c>
      <c r="L189" s="40">
        <f t="shared" si="19"/>
        <v>0.645418326693227</v>
      </c>
      <c r="M189" s="4" t="s">
        <v>169</v>
      </c>
      <c r="N189" s="32" t="s">
        <v>170</v>
      </c>
      <c r="O189" s="21" t="s">
        <v>181</v>
      </c>
      <c r="P189" s="130">
        <f t="shared" si="20"/>
        <v>19.487923071727245</v>
      </c>
    </row>
    <row r="190" spans="1:16" ht="13.5">
      <c r="A190" s="3" t="s">
        <v>168</v>
      </c>
      <c r="B190" s="53">
        <v>32.16666</v>
      </c>
      <c r="C190" s="5">
        <v>10.166666</v>
      </c>
      <c r="E190" s="25">
        <v>11097</v>
      </c>
      <c r="F190" s="3">
        <f t="shared" si="17"/>
        <v>0.009492862863519566</v>
      </c>
      <c r="G190" s="39">
        <f t="shared" si="18"/>
        <v>1034.6940155556001</v>
      </c>
      <c r="H190" s="38">
        <v>31.1</v>
      </c>
      <c r="I190" s="7">
        <v>27</v>
      </c>
      <c r="J190" s="46">
        <v>18.8</v>
      </c>
      <c r="K190" s="6">
        <f t="shared" si="21"/>
        <v>1.6542553191489362</v>
      </c>
      <c r="L190" s="40">
        <f t="shared" si="19"/>
        <v>0.6045016077170418</v>
      </c>
      <c r="M190" s="4" t="s">
        <v>169</v>
      </c>
      <c r="N190" s="32" t="s">
        <v>170</v>
      </c>
      <c r="O190" s="21" t="s">
        <v>181</v>
      </c>
      <c r="P190" s="130">
        <f t="shared" si="20"/>
        <v>23.443502355727244</v>
      </c>
    </row>
    <row r="191" spans="1:16" ht="13.5">
      <c r="A191" s="3" t="s">
        <v>168</v>
      </c>
      <c r="B191" s="53">
        <v>32.16666</v>
      </c>
      <c r="C191" s="5">
        <v>10.166666</v>
      </c>
      <c r="E191" s="25">
        <v>11097</v>
      </c>
      <c r="F191" s="3">
        <f t="shared" si="17"/>
        <v>0.009492862863519566</v>
      </c>
      <c r="G191" s="39">
        <f t="shared" si="18"/>
        <v>1034.6940155556001</v>
      </c>
      <c r="H191" s="38">
        <v>36.3</v>
      </c>
      <c r="I191" s="7">
        <v>31.5</v>
      </c>
      <c r="J191" s="46">
        <v>23.2</v>
      </c>
      <c r="K191" s="6">
        <f t="shared" si="21"/>
        <v>1.564655172413793</v>
      </c>
      <c r="L191" s="40">
        <f t="shared" si="19"/>
        <v>0.6391184573002755</v>
      </c>
      <c r="M191" s="4" t="s">
        <v>169</v>
      </c>
      <c r="N191" s="32" t="s">
        <v>170</v>
      </c>
      <c r="O191" s="21" t="s">
        <v>181</v>
      </c>
      <c r="P191" s="130">
        <f t="shared" si="20"/>
        <v>26.87167106852724</v>
      </c>
    </row>
    <row r="192" spans="1:16" ht="13.5">
      <c r="A192" s="3" t="s">
        <v>168</v>
      </c>
      <c r="B192" s="53">
        <v>32.16666</v>
      </c>
      <c r="C192" s="5">
        <v>10.166666</v>
      </c>
      <c r="E192" s="25">
        <v>11097</v>
      </c>
      <c r="F192" s="3">
        <f t="shared" si="17"/>
        <v>0.009492862863519566</v>
      </c>
      <c r="G192" s="39">
        <f t="shared" si="18"/>
        <v>1034.6940155556001</v>
      </c>
      <c r="H192" s="38">
        <v>41.4</v>
      </c>
      <c r="I192" s="7">
        <v>36</v>
      </c>
      <c r="J192" s="46">
        <v>29.6</v>
      </c>
      <c r="K192" s="6">
        <f t="shared" si="21"/>
        <v>1.3986486486486485</v>
      </c>
      <c r="L192" s="40">
        <f t="shared" si="19"/>
        <v>0.7149758454106281</v>
      </c>
      <c r="M192" s="4" t="s">
        <v>169</v>
      </c>
      <c r="N192" s="32" t="s">
        <v>170</v>
      </c>
      <c r="O192" s="21" t="s">
        <v>181</v>
      </c>
      <c r="P192" s="130">
        <f t="shared" si="20"/>
        <v>30.233913459927244</v>
      </c>
    </row>
    <row r="193" spans="1:16" ht="13.5">
      <c r="A193" s="3" t="s">
        <v>168</v>
      </c>
      <c r="B193" s="53">
        <v>32.16666</v>
      </c>
      <c r="C193" s="5">
        <v>10.166666</v>
      </c>
      <c r="E193" s="25">
        <v>11097</v>
      </c>
      <c r="F193" s="3">
        <f t="shared" si="17"/>
        <v>0.009492862863519566</v>
      </c>
      <c r="G193" s="39">
        <f t="shared" si="18"/>
        <v>1034.6940155556001</v>
      </c>
      <c r="H193" s="38">
        <v>45.7</v>
      </c>
      <c r="I193" s="7">
        <v>39.7</v>
      </c>
      <c r="J193" s="46">
        <v>38.6</v>
      </c>
      <c r="K193" s="6">
        <f aca="true" t="shared" si="22" ref="K193:K224">H193/J193</f>
        <v>1.1839378238341969</v>
      </c>
      <c r="L193" s="40">
        <f t="shared" si="19"/>
        <v>0.8446389496717724</v>
      </c>
      <c r="M193" s="4" t="s">
        <v>169</v>
      </c>
      <c r="N193" s="32" t="s">
        <v>170</v>
      </c>
      <c r="O193" s="21" t="s">
        <v>181</v>
      </c>
      <c r="P193" s="130">
        <f t="shared" si="20"/>
        <v>33.068745280127246</v>
      </c>
    </row>
    <row r="194" spans="1:16" ht="13.5">
      <c r="A194" s="3" t="s">
        <v>168</v>
      </c>
      <c r="B194" s="53">
        <v>32.16666</v>
      </c>
      <c r="C194" s="5">
        <v>10.166666</v>
      </c>
      <c r="E194" s="25">
        <v>11097</v>
      </c>
      <c r="F194" s="3">
        <f t="shared" si="17"/>
        <v>0.009492862863519566</v>
      </c>
      <c r="G194" s="39">
        <f t="shared" si="18"/>
        <v>1034.6940155556001</v>
      </c>
      <c r="H194" s="38">
        <v>46.9</v>
      </c>
      <c r="I194" s="7">
        <v>40.7</v>
      </c>
      <c r="J194" s="46">
        <v>43.4</v>
      </c>
      <c r="K194" s="6">
        <f t="shared" si="22"/>
        <v>1.0806451612903225</v>
      </c>
      <c r="L194" s="40">
        <f t="shared" si="19"/>
        <v>0.9253731343283582</v>
      </c>
      <c r="M194" s="4" t="s">
        <v>169</v>
      </c>
      <c r="N194" s="32" t="s">
        <v>170</v>
      </c>
      <c r="O194" s="21" t="s">
        <v>181</v>
      </c>
      <c r="P194" s="130">
        <f t="shared" si="20"/>
        <v>33.85986113692724</v>
      </c>
    </row>
    <row r="195" spans="1:16" ht="13.5">
      <c r="A195" s="3" t="s">
        <v>24</v>
      </c>
      <c r="B195" s="55">
        <v>32.333</v>
      </c>
      <c r="C195" s="6">
        <v>10.1666</v>
      </c>
      <c r="D195" s="6">
        <f>22/12</f>
        <v>1.8333333333333333</v>
      </c>
      <c r="E195" s="25">
        <v>6500</v>
      </c>
      <c r="F195" s="3">
        <f aca="true" t="shared" si="23" ref="F195:F233">E195^(-0.5)</f>
        <v>0.012403473458920846</v>
      </c>
      <c r="G195" s="39">
        <f t="shared" si="18"/>
        <v>1045.422889</v>
      </c>
      <c r="H195" s="37">
        <f>I195*I$2</f>
        <v>37.9764</v>
      </c>
      <c r="I195" s="14">
        <v>33</v>
      </c>
      <c r="J195" s="46">
        <v>25.5</v>
      </c>
      <c r="K195" s="6">
        <f t="shared" si="22"/>
        <v>1.4892705882352941</v>
      </c>
      <c r="L195" s="40">
        <f t="shared" si="19"/>
        <v>0.6714696495718393</v>
      </c>
      <c r="M195" s="3" t="s">
        <v>23</v>
      </c>
      <c r="N195" s="29" t="s">
        <v>25</v>
      </c>
      <c r="O195" s="23" t="s">
        <v>76</v>
      </c>
      <c r="P195" s="130">
        <f t="shared" si="20"/>
        <v>28.155519459967397</v>
      </c>
    </row>
    <row r="196" spans="1:16" ht="13.5">
      <c r="A196" s="3" t="s">
        <v>33</v>
      </c>
      <c r="B196" s="55">
        <f>32+7/12</f>
        <v>32.583333333333336</v>
      </c>
      <c r="C196" s="6">
        <f>10+7/12</f>
        <v>10.583333333333334</v>
      </c>
      <c r="D196" s="6">
        <f>1+7/12</f>
        <v>1.5833333333333335</v>
      </c>
      <c r="E196" s="25">
        <v>7500</v>
      </c>
      <c r="F196" s="3">
        <f t="shared" si="23"/>
        <v>0.011547005383792516</v>
      </c>
      <c r="G196" s="39">
        <f aca="true" t="shared" si="24" ref="G196:G233">B196^G$2</f>
        <v>1061.6736111111113</v>
      </c>
      <c r="H196" s="36">
        <v>6</v>
      </c>
      <c r="I196" s="14"/>
      <c r="J196" s="46">
        <v>3.85</v>
      </c>
      <c r="K196" s="6">
        <f t="shared" si="22"/>
        <v>1.5584415584415585</v>
      </c>
      <c r="L196" s="40">
        <f t="shared" si="19"/>
        <v>0.6416666666666666</v>
      </c>
      <c r="M196" s="3" t="s">
        <v>32</v>
      </c>
      <c r="N196" s="29" t="s">
        <v>34</v>
      </c>
      <c r="O196" s="23" t="s">
        <v>76</v>
      </c>
      <c r="P196" s="130">
        <f t="shared" si="20"/>
        <v>7.3452657910694485</v>
      </c>
    </row>
    <row r="197" spans="1:16" ht="13.5">
      <c r="A197" s="3" t="s">
        <v>33</v>
      </c>
      <c r="B197" s="55">
        <f>32+7/12</f>
        <v>32.583333333333336</v>
      </c>
      <c r="C197" s="6">
        <f>10+7/12</f>
        <v>10.583333333333334</v>
      </c>
      <c r="D197" s="6">
        <f>1+7/12</f>
        <v>1.5833333333333335</v>
      </c>
      <c r="E197" s="25">
        <v>7500</v>
      </c>
      <c r="F197" s="3">
        <f t="shared" si="23"/>
        <v>0.011547005383792516</v>
      </c>
      <c r="G197" s="39">
        <f t="shared" si="24"/>
        <v>1061.6736111111113</v>
      </c>
      <c r="H197" s="36">
        <v>30</v>
      </c>
      <c r="I197" s="14"/>
      <c r="J197" s="46">
        <v>22.8</v>
      </c>
      <c r="K197" s="6">
        <f t="shared" si="22"/>
        <v>1.3157894736842104</v>
      </c>
      <c r="L197" s="40">
        <f aca="true" t="shared" si="25" ref="L197:L233">1/K197</f>
        <v>0.7600000000000001</v>
      </c>
      <c r="M197" s="3" t="s">
        <v>32</v>
      </c>
      <c r="N197" s="29" t="s">
        <v>34</v>
      </c>
      <c r="O197" s="23" t="s">
        <v>76</v>
      </c>
      <c r="P197" s="130">
        <f aca="true" t="shared" si="26" ref="P197:P233">-14.28953391+0.016652218*G197+0.659263214*H197</f>
        <v>23.16758292706945</v>
      </c>
    </row>
    <row r="198" spans="1:16" ht="13.5">
      <c r="A198" s="3" t="s">
        <v>33</v>
      </c>
      <c r="B198" s="55">
        <f>32+7/12</f>
        <v>32.583333333333336</v>
      </c>
      <c r="C198" s="6">
        <f>10+7/12</f>
        <v>10.583333333333334</v>
      </c>
      <c r="D198" s="6">
        <f>1+7/12</f>
        <v>1.5833333333333335</v>
      </c>
      <c r="E198" s="25">
        <v>7500</v>
      </c>
      <c r="F198" s="3">
        <f t="shared" si="23"/>
        <v>0.011547005383792516</v>
      </c>
      <c r="G198" s="39">
        <f t="shared" si="24"/>
        <v>1061.6736111111113</v>
      </c>
      <c r="H198" s="36">
        <v>46</v>
      </c>
      <c r="I198" s="14"/>
      <c r="J198" s="46">
        <v>59.35</v>
      </c>
      <c r="K198" s="6">
        <f t="shared" si="22"/>
        <v>0.7750631844987363</v>
      </c>
      <c r="L198" s="40">
        <f t="shared" si="25"/>
        <v>1.2902173913043478</v>
      </c>
      <c r="M198" s="3" t="s">
        <v>32</v>
      </c>
      <c r="N198" s="29" t="s">
        <v>34</v>
      </c>
      <c r="O198" s="23" t="s">
        <v>76</v>
      </c>
      <c r="P198" s="130">
        <f t="shared" si="26"/>
        <v>33.71579435106945</v>
      </c>
    </row>
    <row r="199" spans="1:16" ht="13.5">
      <c r="A199" s="7" t="s">
        <v>3</v>
      </c>
      <c r="B199" s="53">
        <v>34</v>
      </c>
      <c r="C199" s="5">
        <v>11</v>
      </c>
      <c r="D199" s="5">
        <f>2+5/12</f>
        <v>2.4166666666666665</v>
      </c>
      <c r="E199" s="25">
        <v>9000</v>
      </c>
      <c r="F199" s="3">
        <f t="shared" si="23"/>
        <v>0.010540925533894598</v>
      </c>
      <c r="G199" s="39">
        <f t="shared" si="24"/>
        <v>1156</v>
      </c>
      <c r="H199" s="37">
        <f aca="true" t="shared" si="27" ref="H199:H208">I199*I$2</f>
        <v>27.6192</v>
      </c>
      <c r="I199" s="14">
        <v>24</v>
      </c>
      <c r="J199" s="46">
        <v>9</v>
      </c>
      <c r="K199" s="6">
        <f t="shared" si="22"/>
        <v>3.0688</v>
      </c>
      <c r="L199" s="40">
        <f t="shared" si="25"/>
        <v>0.32586027111574556</v>
      </c>
      <c r="M199" s="3" t="s">
        <v>2</v>
      </c>
      <c r="N199" s="29" t="s">
        <v>4</v>
      </c>
      <c r="O199" s="23" t="s">
        <v>76</v>
      </c>
      <c r="P199" s="130">
        <f t="shared" si="26"/>
        <v>23.168752658108797</v>
      </c>
    </row>
    <row r="200" spans="1:16" ht="13.5">
      <c r="A200" s="3" t="s">
        <v>44</v>
      </c>
      <c r="B200" s="55">
        <v>34.5</v>
      </c>
      <c r="C200" s="6">
        <v>13.5</v>
      </c>
      <c r="D200" s="6">
        <v>3.5</v>
      </c>
      <c r="E200" s="25">
        <v>22000</v>
      </c>
      <c r="F200" s="3">
        <f t="shared" si="23"/>
        <v>0.006741998624632421</v>
      </c>
      <c r="G200" s="39">
        <f t="shared" si="24"/>
        <v>1190.25</v>
      </c>
      <c r="H200" s="37">
        <f t="shared" si="27"/>
        <v>5.1786</v>
      </c>
      <c r="I200" s="14">
        <v>4.5</v>
      </c>
      <c r="J200" s="46">
        <v>2.2</v>
      </c>
      <c r="K200" s="6">
        <f t="shared" si="22"/>
        <v>2.3539090909090907</v>
      </c>
      <c r="L200" s="40">
        <f t="shared" si="25"/>
        <v>0.42482524234349056</v>
      </c>
      <c r="M200" s="3" t="s">
        <v>43</v>
      </c>
      <c r="N200" s="29" t="s">
        <v>25</v>
      </c>
      <c r="O200" s="23" t="s">
        <v>76</v>
      </c>
      <c r="P200" s="130">
        <f t="shared" si="26"/>
        <v>8.9448290445204</v>
      </c>
    </row>
    <row r="201" spans="1:16" ht="13.5">
      <c r="A201" s="3" t="s">
        <v>44</v>
      </c>
      <c r="B201" s="55">
        <v>34.5</v>
      </c>
      <c r="C201" s="6">
        <v>13.5</v>
      </c>
      <c r="D201" s="6">
        <v>3.5</v>
      </c>
      <c r="E201" s="25">
        <v>22000</v>
      </c>
      <c r="F201" s="3">
        <f t="shared" si="23"/>
        <v>0.006741998624632421</v>
      </c>
      <c r="G201" s="39">
        <f t="shared" si="24"/>
        <v>1190.25</v>
      </c>
      <c r="H201" s="37">
        <f t="shared" si="27"/>
        <v>17.262</v>
      </c>
      <c r="I201" s="14">
        <v>15</v>
      </c>
      <c r="J201" s="46">
        <v>14</v>
      </c>
      <c r="K201" s="6">
        <f t="shared" si="22"/>
        <v>1.233</v>
      </c>
      <c r="L201" s="40">
        <f t="shared" si="25"/>
        <v>0.8110300081103</v>
      </c>
      <c r="M201" s="3" t="s">
        <v>43</v>
      </c>
      <c r="N201" s="29" t="s">
        <v>25</v>
      </c>
      <c r="O201" s="23" t="s">
        <v>76</v>
      </c>
      <c r="P201" s="130">
        <f t="shared" si="26"/>
        <v>16.910970164568</v>
      </c>
    </row>
    <row r="202" spans="1:16" ht="13.5">
      <c r="A202" s="3" t="s">
        <v>46</v>
      </c>
      <c r="B202" s="55">
        <v>35</v>
      </c>
      <c r="C202" s="6">
        <v>12.1666</v>
      </c>
      <c r="D202" s="6">
        <f>37/12</f>
        <v>3.0833333333333335</v>
      </c>
      <c r="E202" s="25">
        <v>15870</v>
      </c>
      <c r="F202" s="3">
        <f t="shared" si="23"/>
        <v>0.007938008079785017</v>
      </c>
      <c r="G202" s="39">
        <f t="shared" si="24"/>
        <v>1225</v>
      </c>
      <c r="H202" s="37">
        <f t="shared" si="27"/>
        <v>25.317600000000002</v>
      </c>
      <c r="I202" s="14">
        <v>22</v>
      </c>
      <c r="J202" s="46">
        <v>30</v>
      </c>
      <c r="K202" s="6">
        <f t="shared" si="22"/>
        <v>0.8439200000000001</v>
      </c>
      <c r="L202" s="40">
        <f t="shared" si="25"/>
        <v>1.184946440420893</v>
      </c>
      <c r="M202" s="3" t="s">
        <v>45</v>
      </c>
      <c r="N202" s="29" t="s">
        <v>47</v>
      </c>
      <c r="O202" s="23" t="s">
        <v>76</v>
      </c>
      <c r="P202" s="130">
        <f t="shared" si="26"/>
        <v>22.8003954867664</v>
      </c>
    </row>
    <row r="203" spans="1:16" ht="13.5">
      <c r="A203" s="3" t="s">
        <v>46</v>
      </c>
      <c r="B203" s="55">
        <v>35</v>
      </c>
      <c r="C203" s="6">
        <v>12.1666</v>
      </c>
      <c r="D203" s="6">
        <f>37/12</f>
        <v>3.0833333333333335</v>
      </c>
      <c r="E203" s="25">
        <v>15870</v>
      </c>
      <c r="F203" s="3">
        <f t="shared" si="23"/>
        <v>0.007938008079785017</v>
      </c>
      <c r="G203" s="39">
        <f t="shared" si="24"/>
        <v>1225</v>
      </c>
      <c r="H203" s="37">
        <f t="shared" si="27"/>
        <v>28.77</v>
      </c>
      <c r="I203" s="14">
        <v>25</v>
      </c>
      <c r="J203" s="46">
        <v>22</v>
      </c>
      <c r="K203" s="6">
        <f t="shared" si="22"/>
        <v>1.3077272727272726</v>
      </c>
      <c r="L203" s="40">
        <f t="shared" si="25"/>
        <v>0.764685436218283</v>
      </c>
      <c r="M203" s="3" t="s">
        <v>45</v>
      </c>
      <c r="N203" s="29" t="s">
        <v>47</v>
      </c>
      <c r="O203" s="23" t="s">
        <v>76</v>
      </c>
      <c r="P203" s="130">
        <f t="shared" si="26"/>
        <v>25.07643580678</v>
      </c>
    </row>
    <row r="204" spans="1:16" ht="13.5">
      <c r="A204" s="3" t="s">
        <v>46</v>
      </c>
      <c r="B204" s="55">
        <v>35</v>
      </c>
      <c r="C204" s="6">
        <v>12.1666</v>
      </c>
      <c r="D204" s="6">
        <f>37/12</f>
        <v>3.0833333333333335</v>
      </c>
      <c r="E204" s="25">
        <v>15870</v>
      </c>
      <c r="F204" s="3">
        <f t="shared" si="23"/>
        <v>0.007938008079785017</v>
      </c>
      <c r="G204" s="39">
        <f t="shared" si="24"/>
        <v>1225</v>
      </c>
      <c r="H204" s="37">
        <f t="shared" si="27"/>
        <v>33.373200000000004</v>
      </c>
      <c r="I204" s="14">
        <v>29</v>
      </c>
      <c r="J204" s="46">
        <v>26</v>
      </c>
      <c r="K204" s="6">
        <f t="shared" si="22"/>
        <v>1.2835846153846155</v>
      </c>
      <c r="L204" s="40">
        <f t="shared" si="25"/>
        <v>0.7790682343916675</v>
      </c>
      <c r="M204" s="3" t="s">
        <v>45</v>
      </c>
      <c r="N204" s="29" t="s">
        <v>47</v>
      </c>
      <c r="O204" s="23" t="s">
        <v>76</v>
      </c>
      <c r="P204" s="130">
        <f t="shared" si="26"/>
        <v>28.111156233464804</v>
      </c>
    </row>
    <row r="205" spans="1:16" ht="13.5">
      <c r="A205" s="3" t="s">
        <v>46</v>
      </c>
      <c r="B205" s="55">
        <v>35</v>
      </c>
      <c r="C205" s="6">
        <v>12.1666</v>
      </c>
      <c r="D205" s="6">
        <f>37/12</f>
        <v>3.0833333333333335</v>
      </c>
      <c r="E205" s="25">
        <v>15870</v>
      </c>
      <c r="F205" s="3">
        <f t="shared" si="23"/>
        <v>0.007938008079785017</v>
      </c>
      <c r="G205" s="39">
        <f t="shared" si="24"/>
        <v>1225</v>
      </c>
      <c r="H205" s="37">
        <f t="shared" si="27"/>
        <v>36.8256</v>
      </c>
      <c r="I205" s="14">
        <v>32</v>
      </c>
      <c r="J205" s="46">
        <v>49</v>
      </c>
      <c r="K205" s="6">
        <f t="shared" si="22"/>
        <v>0.7515428571428572</v>
      </c>
      <c r="L205" s="40">
        <f t="shared" si="25"/>
        <v>1.330596107055961</v>
      </c>
      <c r="M205" s="3" t="s">
        <v>45</v>
      </c>
      <c r="N205" s="29" t="s">
        <v>47</v>
      </c>
      <c r="O205" s="23" t="s">
        <v>76</v>
      </c>
      <c r="P205" s="130">
        <f t="shared" si="26"/>
        <v>30.3871965534784</v>
      </c>
    </row>
    <row r="206" spans="1:16" ht="13.5">
      <c r="A206" s="3" t="s">
        <v>60</v>
      </c>
      <c r="B206" s="55">
        <f>35+1/12</f>
        <v>35.083333333333336</v>
      </c>
      <c r="C206" s="6">
        <v>10.5</v>
      </c>
      <c r="D206" s="6">
        <v>2.3333</v>
      </c>
      <c r="E206" s="25">
        <v>9520</v>
      </c>
      <c r="F206" s="3">
        <f t="shared" si="23"/>
        <v>0.010249000771134846</v>
      </c>
      <c r="G206" s="39">
        <f t="shared" si="24"/>
        <v>1230.840277777778</v>
      </c>
      <c r="H206" s="37">
        <f t="shared" si="27"/>
        <v>38.781960000000005</v>
      </c>
      <c r="I206" s="14">
        <v>33.7</v>
      </c>
      <c r="J206" s="46">
        <v>31.5</v>
      </c>
      <c r="K206" s="6">
        <f t="shared" si="22"/>
        <v>1.2311733333333335</v>
      </c>
      <c r="L206" s="40">
        <f t="shared" si="25"/>
        <v>0.8122333167276743</v>
      </c>
      <c r="M206" s="3" t="s">
        <v>141</v>
      </c>
      <c r="N206" s="29" t="s">
        <v>7</v>
      </c>
      <c r="O206" s="23" t="s">
        <v>76</v>
      </c>
      <c r="P206" s="130">
        <f t="shared" si="26"/>
        <v>31.77420631355556</v>
      </c>
    </row>
    <row r="207" spans="1:16" ht="13.5">
      <c r="A207" s="3" t="s">
        <v>60</v>
      </c>
      <c r="B207" s="55">
        <f>35+1/12</f>
        <v>35.083333333333336</v>
      </c>
      <c r="C207" s="6">
        <v>10.5</v>
      </c>
      <c r="D207" s="6">
        <v>2.3333</v>
      </c>
      <c r="E207" s="25">
        <v>9520</v>
      </c>
      <c r="F207" s="3">
        <f t="shared" si="23"/>
        <v>0.010249000771134846</v>
      </c>
      <c r="G207" s="39">
        <f t="shared" si="24"/>
        <v>1230.840277777778</v>
      </c>
      <c r="H207" s="37">
        <f t="shared" si="27"/>
        <v>48.333600000000004</v>
      </c>
      <c r="I207" s="14">
        <v>42</v>
      </c>
      <c r="J207" s="46">
        <v>60</v>
      </c>
      <c r="K207" s="6">
        <f t="shared" si="22"/>
        <v>0.80556</v>
      </c>
      <c r="L207" s="40">
        <f t="shared" si="25"/>
        <v>1.2413724613933164</v>
      </c>
      <c r="M207" s="3" t="s">
        <v>141</v>
      </c>
      <c r="N207" s="29" t="s">
        <v>7</v>
      </c>
      <c r="O207" s="23" t="s">
        <v>76</v>
      </c>
      <c r="P207" s="130">
        <f t="shared" si="26"/>
        <v>38.07125119892652</v>
      </c>
    </row>
    <row r="208" spans="1:16" ht="13.5">
      <c r="A208" s="3" t="s">
        <v>67</v>
      </c>
      <c r="B208" s="55">
        <f>35+1/12</f>
        <v>35.083333333333336</v>
      </c>
      <c r="C208" s="6">
        <v>13</v>
      </c>
      <c r="D208" s="6">
        <v>3</v>
      </c>
      <c r="E208" s="25">
        <v>12500</v>
      </c>
      <c r="F208" s="3">
        <f t="shared" si="23"/>
        <v>0.00894427190999916</v>
      </c>
      <c r="G208" s="39">
        <f t="shared" si="24"/>
        <v>1230.840277777778</v>
      </c>
      <c r="H208" s="37">
        <f t="shared" si="27"/>
        <v>30.72636</v>
      </c>
      <c r="I208" s="14">
        <v>26.7</v>
      </c>
      <c r="J208" s="46">
        <v>32.1</v>
      </c>
      <c r="K208" s="6">
        <f t="shared" si="22"/>
        <v>0.957207476635514</v>
      </c>
      <c r="L208" s="40">
        <f t="shared" si="25"/>
        <v>1.044705588296173</v>
      </c>
      <c r="N208" s="29" t="s">
        <v>68</v>
      </c>
      <c r="O208" s="23" t="s">
        <v>76</v>
      </c>
      <c r="P208" s="130">
        <f t="shared" si="26"/>
        <v>26.463445566857153</v>
      </c>
    </row>
    <row r="209" spans="1:16" ht="13.5">
      <c r="A209" s="1" t="s">
        <v>95</v>
      </c>
      <c r="B209" s="53">
        <v>36</v>
      </c>
      <c r="C209" s="5">
        <f>11+11/12</f>
        <v>11.916666666666666</v>
      </c>
      <c r="E209" s="25">
        <v>17000</v>
      </c>
      <c r="F209" s="3">
        <f t="shared" si="23"/>
        <v>0.007669649888473705</v>
      </c>
      <c r="G209" s="39">
        <f t="shared" si="24"/>
        <v>1296</v>
      </c>
      <c r="H209" s="37">
        <v>29</v>
      </c>
      <c r="I209" s="14"/>
      <c r="J209" s="46">
        <v>22</v>
      </c>
      <c r="K209" s="6">
        <f t="shared" si="22"/>
        <v>1.3181818181818181</v>
      </c>
      <c r="L209" s="40">
        <f t="shared" si="25"/>
        <v>0.7586206896551725</v>
      </c>
      <c r="M209" s="1" t="s">
        <v>100</v>
      </c>
      <c r="N209" s="29" t="s">
        <v>112</v>
      </c>
      <c r="O209" s="23" t="s">
        <v>94</v>
      </c>
      <c r="P209" s="130">
        <f t="shared" si="26"/>
        <v>26.410373824</v>
      </c>
    </row>
    <row r="210" spans="1:16" ht="13.5">
      <c r="A210" s="3" t="s">
        <v>39</v>
      </c>
      <c r="B210" s="55">
        <f>36+10/12</f>
        <v>36.833333333333336</v>
      </c>
      <c r="C210" s="6">
        <v>15.8333</v>
      </c>
      <c r="D210" s="6">
        <v>2.66666</v>
      </c>
      <c r="E210" s="25">
        <v>47000</v>
      </c>
      <c r="F210" s="3">
        <f t="shared" si="23"/>
        <v>0.004612656040144426</v>
      </c>
      <c r="G210" s="39">
        <f t="shared" si="24"/>
        <v>1356.6944444444446</v>
      </c>
      <c r="H210" s="37">
        <f>I210*I$2</f>
        <v>8.86116</v>
      </c>
      <c r="I210" s="14">
        <v>7.7</v>
      </c>
      <c r="J210" s="46">
        <v>3</v>
      </c>
      <c r="K210" s="6">
        <f t="shared" si="22"/>
        <v>2.95372</v>
      </c>
      <c r="L210" s="40">
        <f t="shared" si="25"/>
        <v>0.3385561258345408</v>
      </c>
      <c r="M210" s="3" t="s">
        <v>38</v>
      </c>
      <c r="N210" s="29" t="s">
        <v>4</v>
      </c>
      <c r="O210" s="23" t="s">
        <v>76</v>
      </c>
      <c r="P210" s="130">
        <f t="shared" si="26"/>
        <v>14.144274559646021</v>
      </c>
    </row>
    <row r="211" spans="1:16" ht="13.5">
      <c r="A211" s="3" t="s">
        <v>15</v>
      </c>
      <c r="B211" s="55">
        <f>37.6666</f>
        <v>37.6666</v>
      </c>
      <c r="C211" s="6">
        <f>13+2/12</f>
        <v>13.166666666666666</v>
      </c>
      <c r="D211" s="6">
        <f>31/12</f>
        <v>2.5833333333333335</v>
      </c>
      <c r="E211" s="25">
        <v>24746</v>
      </c>
      <c r="F211" s="3">
        <f t="shared" si="23"/>
        <v>0.006356930973785989</v>
      </c>
      <c r="G211" s="39">
        <f t="shared" si="24"/>
        <v>1418.7727555600002</v>
      </c>
      <c r="H211" s="36">
        <v>27.5</v>
      </c>
      <c r="I211" s="14"/>
      <c r="J211" s="46">
        <v>36</v>
      </c>
      <c r="K211" s="6">
        <f t="shared" si="22"/>
        <v>0.7638888888888888</v>
      </c>
      <c r="L211" s="40">
        <f t="shared" si="25"/>
        <v>1.309090909090909</v>
      </c>
      <c r="M211" s="3" t="s">
        <v>14</v>
      </c>
      <c r="N211" s="29" t="s">
        <v>16</v>
      </c>
      <c r="O211" s="23" t="s">
        <v>76</v>
      </c>
      <c r="P211" s="130">
        <f t="shared" si="26"/>
        <v>27.465917693045835</v>
      </c>
    </row>
    <row r="212" spans="1:16" ht="13.5">
      <c r="A212" s="3" t="s">
        <v>15</v>
      </c>
      <c r="B212" s="55">
        <f>37.6666</f>
        <v>37.6666</v>
      </c>
      <c r="C212" s="6">
        <f>13+2/12</f>
        <v>13.166666666666666</v>
      </c>
      <c r="D212" s="6">
        <f>31/12</f>
        <v>2.5833333333333335</v>
      </c>
      <c r="E212" s="25">
        <v>24746</v>
      </c>
      <c r="F212" s="3">
        <f t="shared" si="23"/>
        <v>0.006356930973785989</v>
      </c>
      <c r="G212" s="39">
        <f t="shared" si="24"/>
        <v>1418.7727555600002</v>
      </c>
      <c r="H212" s="36">
        <v>35</v>
      </c>
      <c r="I212" s="14"/>
      <c r="J212" s="46">
        <v>60</v>
      </c>
      <c r="K212" s="6">
        <f t="shared" si="22"/>
        <v>0.5833333333333334</v>
      </c>
      <c r="L212" s="40">
        <f t="shared" si="25"/>
        <v>1.7142857142857142</v>
      </c>
      <c r="M212" s="3" t="s">
        <v>14</v>
      </c>
      <c r="N212" s="29" t="s">
        <v>16</v>
      </c>
      <c r="O212" s="23" t="s">
        <v>76</v>
      </c>
      <c r="P212" s="130">
        <f t="shared" si="26"/>
        <v>32.410391798045836</v>
      </c>
    </row>
    <row r="213" spans="1:16" ht="13.5">
      <c r="A213" s="3" t="s">
        <v>49</v>
      </c>
      <c r="B213" s="55">
        <v>38</v>
      </c>
      <c r="C213" s="6">
        <v>14.5</v>
      </c>
      <c r="D213" s="6">
        <v>3.8333</v>
      </c>
      <c r="E213" s="25">
        <v>30000</v>
      </c>
      <c r="F213" s="3">
        <f t="shared" si="23"/>
        <v>0.005773502691896258</v>
      </c>
      <c r="G213" s="39">
        <f t="shared" si="24"/>
        <v>1444</v>
      </c>
      <c r="H213" s="37">
        <f>I213*I$2</f>
        <v>20.36916</v>
      </c>
      <c r="I213" s="14">
        <v>17.7</v>
      </c>
      <c r="J213" s="46">
        <v>23</v>
      </c>
      <c r="K213" s="6">
        <f t="shared" si="22"/>
        <v>0.885615652173913</v>
      </c>
      <c r="L213" s="40">
        <f t="shared" si="25"/>
        <v>1.12915800160635</v>
      </c>
      <c r="M213" s="3" t="s">
        <v>48</v>
      </c>
      <c r="N213" s="29" t="s">
        <v>50</v>
      </c>
      <c r="O213" s="23" t="s">
        <v>76</v>
      </c>
      <c r="P213" s="130">
        <f t="shared" si="26"/>
        <v>23.18490677008024</v>
      </c>
    </row>
    <row r="214" spans="1:16" ht="13.5">
      <c r="A214" s="3" t="s">
        <v>49</v>
      </c>
      <c r="B214" s="55">
        <v>38</v>
      </c>
      <c r="C214" s="6">
        <v>14.5</v>
      </c>
      <c r="D214" s="6">
        <v>3.8333</v>
      </c>
      <c r="E214" s="25">
        <v>30000</v>
      </c>
      <c r="F214" s="3">
        <f t="shared" si="23"/>
        <v>0.005773502691896258</v>
      </c>
      <c r="G214" s="39">
        <f t="shared" si="24"/>
        <v>1444</v>
      </c>
      <c r="H214" s="37">
        <f>I214*I$2</f>
        <v>23.5914</v>
      </c>
      <c r="I214" s="14">
        <v>20.5</v>
      </c>
      <c r="J214" s="46">
        <v>30</v>
      </c>
      <c r="K214" s="6">
        <f t="shared" si="22"/>
        <v>0.78638</v>
      </c>
      <c r="L214" s="40">
        <f t="shared" si="25"/>
        <v>1.2716498385004706</v>
      </c>
      <c r="M214" s="3" t="s">
        <v>48</v>
      </c>
      <c r="N214" s="29" t="s">
        <v>50</v>
      </c>
      <c r="O214" s="23" t="s">
        <v>76</v>
      </c>
      <c r="P214" s="130">
        <f t="shared" si="26"/>
        <v>25.309211068759602</v>
      </c>
    </row>
    <row r="215" spans="1:16" ht="13.5">
      <c r="A215" s="3" t="s">
        <v>49</v>
      </c>
      <c r="B215" s="55">
        <v>38</v>
      </c>
      <c r="C215" s="6">
        <v>14.5</v>
      </c>
      <c r="D215" s="6">
        <v>3.8333</v>
      </c>
      <c r="E215" s="25">
        <v>30000</v>
      </c>
      <c r="F215" s="3">
        <f t="shared" si="23"/>
        <v>0.005773502691896258</v>
      </c>
      <c r="G215" s="39">
        <f t="shared" si="24"/>
        <v>1444</v>
      </c>
      <c r="H215" s="37">
        <f>I215*I$2</f>
        <v>31.41684</v>
      </c>
      <c r="I215" s="14">
        <v>27.3</v>
      </c>
      <c r="J215" s="46">
        <v>38</v>
      </c>
      <c r="K215" s="6">
        <f t="shared" si="22"/>
        <v>0.826758947368421</v>
      </c>
      <c r="L215" s="40">
        <f t="shared" si="25"/>
        <v>1.2095423982806672</v>
      </c>
      <c r="M215" s="3" t="s">
        <v>48</v>
      </c>
      <c r="N215" s="29" t="s">
        <v>50</v>
      </c>
      <c r="O215" s="23" t="s">
        <v>76</v>
      </c>
      <c r="P215" s="130">
        <f t="shared" si="26"/>
        <v>30.46823579412376</v>
      </c>
    </row>
    <row r="216" spans="1:16" ht="13.5">
      <c r="A216" s="3" t="s">
        <v>52</v>
      </c>
      <c r="B216" s="55">
        <v>39.1666</v>
      </c>
      <c r="C216" s="6">
        <f>12+11/12</f>
        <v>12.916666666666666</v>
      </c>
      <c r="D216" s="6"/>
      <c r="E216" s="25">
        <v>22000</v>
      </c>
      <c r="F216" s="3">
        <f t="shared" si="23"/>
        <v>0.006741998624632421</v>
      </c>
      <c r="G216" s="39">
        <f t="shared" si="24"/>
        <v>1534.0225555600002</v>
      </c>
      <c r="H216" s="37">
        <f>I216*I$2</f>
        <v>9.2064</v>
      </c>
      <c r="I216" s="14">
        <v>8</v>
      </c>
      <c r="J216" s="44">
        <v>1.25</v>
      </c>
      <c r="K216" s="6">
        <f t="shared" si="22"/>
        <v>7.36512</v>
      </c>
      <c r="L216" s="40">
        <f t="shared" si="25"/>
        <v>0.13577511296489397</v>
      </c>
      <c r="M216" s="3" t="s">
        <v>51</v>
      </c>
      <c r="N216" s="29" t="s">
        <v>53</v>
      </c>
      <c r="O216" s="23" t="s">
        <v>76</v>
      </c>
      <c r="P216" s="130">
        <f t="shared" si="26"/>
        <v>17.324784955471834</v>
      </c>
    </row>
    <row r="217" spans="1:16" ht="13.5">
      <c r="A217" s="3" t="s">
        <v>52</v>
      </c>
      <c r="B217" s="55">
        <v>39.1666</v>
      </c>
      <c r="C217" s="6">
        <f>12+11/12</f>
        <v>12.916666666666666</v>
      </c>
      <c r="D217" s="6"/>
      <c r="E217" s="25">
        <v>22000</v>
      </c>
      <c r="F217" s="3">
        <f t="shared" si="23"/>
        <v>0.006741998624632421</v>
      </c>
      <c r="G217" s="39">
        <f t="shared" si="24"/>
        <v>1534.0225555600002</v>
      </c>
      <c r="H217" s="37">
        <f>I217*I$2</f>
        <v>20.59932</v>
      </c>
      <c r="I217" s="14">
        <v>17.9</v>
      </c>
      <c r="J217" s="46">
        <v>5</v>
      </c>
      <c r="K217" s="6">
        <f t="shared" si="22"/>
        <v>4.119864</v>
      </c>
      <c r="L217" s="40">
        <f t="shared" si="25"/>
        <v>0.24272645893165407</v>
      </c>
      <c r="M217" s="3" t="s">
        <v>51</v>
      </c>
      <c r="N217" s="29" t="s">
        <v>53</v>
      </c>
      <c r="O217" s="23" t="s">
        <v>76</v>
      </c>
      <c r="P217" s="130">
        <f t="shared" si="26"/>
        <v>24.835718011516715</v>
      </c>
    </row>
    <row r="218" spans="1:16" ht="13.5">
      <c r="A218" s="3" t="s">
        <v>75</v>
      </c>
      <c r="B218" s="55">
        <v>41</v>
      </c>
      <c r="C218" s="6">
        <v>18</v>
      </c>
      <c r="D218" s="6">
        <v>2.666666</v>
      </c>
      <c r="E218" s="25">
        <v>25000</v>
      </c>
      <c r="F218" s="3">
        <f t="shared" si="23"/>
        <v>0.006324555320336758</v>
      </c>
      <c r="G218" s="39">
        <f t="shared" si="24"/>
        <v>1681</v>
      </c>
      <c r="H218" s="36">
        <v>7</v>
      </c>
      <c r="I218" s="13"/>
      <c r="J218" s="44">
        <v>1.2</v>
      </c>
      <c r="K218" s="6">
        <f t="shared" si="22"/>
        <v>5.833333333333334</v>
      </c>
      <c r="L218" s="40">
        <f t="shared" si="25"/>
        <v>0.1714285714285714</v>
      </c>
      <c r="M218" s="3" t="s">
        <v>74</v>
      </c>
      <c r="N218" s="29" t="s">
        <v>143</v>
      </c>
      <c r="O218" s="23" t="s">
        <v>76</v>
      </c>
      <c r="P218" s="130">
        <f t="shared" si="26"/>
        <v>18.317687046000003</v>
      </c>
    </row>
    <row r="219" spans="1:16" ht="13.5">
      <c r="A219" s="3" t="s">
        <v>75</v>
      </c>
      <c r="B219" s="55">
        <v>41</v>
      </c>
      <c r="C219" s="6">
        <v>18</v>
      </c>
      <c r="D219" s="6">
        <v>2.666666</v>
      </c>
      <c r="E219" s="25">
        <v>25000</v>
      </c>
      <c r="F219" s="3">
        <f t="shared" si="23"/>
        <v>0.006324555320336758</v>
      </c>
      <c r="G219" s="39">
        <f t="shared" si="24"/>
        <v>1681</v>
      </c>
      <c r="H219" s="36">
        <v>19</v>
      </c>
      <c r="I219" s="13"/>
      <c r="J219" s="46">
        <v>10</v>
      </c>
      <c r="K219" s="6">
        <f t="shared" si="22"/>
        <v>1.9</v>
      </c>
      <c r="L219" s="40">
        <f t="shared" si="25"/>
        <v>0.5263157894736842</v>
      </c>
      <c r="M219" s="3" t="s">
        <v>74</v>
      </c>
      <c r="N219" s="29" t="s">
        <v>143</v>
      </c>
      <c r="O219" s="23" t="s">
        <v>76</v>
      </c>
      <c r="P219" s="130">
        <f t="shared" si="26"/>
        <v>26.228845614</v>
      </c>
    </row>
    <row r="220" spans="1:16" ht="13.5">
      <c r="A220" s="3" t="s">
        <v>12</v>
      </c>
      <c r="B220" s="55">
        <v>41.6666</v>
      </c>
      <c r="C220" s="6">
        <f>13+10/12</f>
        <v>13.833333333333334</v>
      </c>
      <c r="D220" s="3"/>
      <c r="E220" s="25">
        <v>28500</v>
      </c>
      <c r="F220" s="3">
        <f t="shared" si="23"/>
        <v>0.005923488777590923</v>
      </c>
      <c r="G220" s="39">
        <f t="shared" si="24"/>
        <v>1736.1055555600003</v>
      </c>
      <c r="H220" s="37">
        <f aca="true" t="shared" si="28" ref="H220:H231">I220*I$2</f>
        <v>32.2224</v>
      </c>
      <c r="I220" s="14">
        <v>28</v>
      </c>
      <c r="J220" s="46">
        <v>24</v>
      </c>
      <c r="K220" s="6">
        <f t="shared" si="22"/>
        <v>1.3426</v>
      </c>
      <c r="L220" s="40">
        <f t="shared" si="25"/>
        <v>0.7448234768359898</v>
      </c>
      <c r="M220" s="3" t="s">
        <v>11</v>
      </c>
      <c r="N220" s="29" t="s">
        <v>13</v>
      </c>
      <c r="O220" s="23" t="s">
        <v>76</v>
      </c>
      <c r="P220" s="130">
        <f t="shared" si="26"/>
        <v>35.86351725898984</v>
      </c>
    </row>
    <row r="221" spans="1:16" ht="13.5">
      <c r="A221" s="3" t="s">
        <v>62</v>
      </c>
      <c r="B221" s="55">
        <v>47.5</v>
      </c>
      <c r="C221" s="6">
        <v>15</v>
      </c>
      <c r="D221" s="6">
        <v>4.333</v>
      </c>
      <c r="E221" s="25">
        <v>40000</v>
      </c>
      <c r="F221" s="3">
        <f t="shared" si="23"/>
        <v>0.005</v>
      </c>
      <c r="G221" s="39">
        <f t="shared" si="24"/>
        <v>2256.25</v>
      </c>
      <c r="H221" s="37">
        <f t="shared" si="28"/>
        <v>23.016000000000002</v>
      </c>
      <c r="I221" s="14">
        <v>20</v>
      </c>
      <c r="J221" s="46">
        <v>35</v>
      </c>
      <c r="K221" s="6">
        <f t="shared" si="22"/>
        <v>0.6576000000000001</v>
      </c>
      <c r="L221" s="40">
        <f t="shared" si="25"/>
        <v>1.5206812652068125</v>
      </c>
      <c r="M221" s="3" t="s">
        <v>61</v>
      </c>
      <c r="N221" s="29" t="s">
        <v>63</v>
      </c>
      <c r="O221" s="23" t="s">
        <v>76</v>
      </c>
      <c r="P221" s="130">
        <f t="shared" si="26"/>
        <v>38.455635085924</v>
      </c>
    </row>
    <row r="222" spans="1:16" ht="13.5">
      <c r="A222" s="3" t="s">
        <v>69</v>
      </c>
      <c r="B222" s="55">
        <v>50.3333</v>
      </c>
      <c r="C222" s="6">
        <v>14.5</v>
      </c>
      <c r="D222" s="6">
        <v>4.5</v>
      </c>
      <c r="E222" s="25">
        <v>33150</v>
      </c>
      <c r="F222" s="3">
        <f t="shared" si="23"/>
        <v>0.005492350363810897</v>
      </c>
      <c r="G222" s="39">
        <f t="shared" si="24"/>
        <v>2533.44108889</v>
      </c>
      <c r="H222" s="37">
        <f t="shared" si="28"/>
        <v>35.55972</v>
      </c>
      <c r="I222" s="14">
        <v>30.9</v>
      </c>
      <c r="J222" s="46">
        <v>48</v>
      </c>
      <c r="K222" s="6">
        <f t="shared" si="22"/>
        <v>0.7408275</v>
      </c>
      <c r="L222" s="40">
        <f t="shared" si="25"/>
        <v>1.3498418997674897</v>
      </c>
      <c r="N222" s="29" t="s">
        <v>70</v>
      </c>
      <c r="O222" s="23" t="s">
        <v>76</v>
      </c>
      <c r="P222" s="130">
        <f t="shared" si="26"/>
        <v>51.34109468849374</v>
      </c>
    </row>
    <row r="223" spans="1:16" ht="13.5">
      <c r="A223" s="3" t="s">
        <v>69</v>
      </c>
      <c r="B223" s="55">
        <v>50.3333</v>
      </c>
      <c r="C223" s="6">
        <v>14.5</v>
      </c>
      <c r="D223" s="6">
        <v>4.5</v>
      </c>
      <c r="E223" s="25">
        <v>33150</v>
      </c>
      <c r="F223" s="3">
        <f t="shared" si="23"/>
        <v>0.005492350363810897</v>
      </c>
      <c r="G223" s="39">
        <f t="shared" si="24"/>
        <v>2533.44108889</v>
      </c>
      <c r="H223" s="37">
        <f t="shared" si="28"/>
        <v>39.1272</v>
      </c>
      <c r="I223" s="14">
        <v>34</v>
      </c>
      <c r="J223" s="46">
        <v>64</v>
      </c>
      <c r="K223" s="6">
        <f t="shared" si="22"/>
        <v>0.6113625</v>
      </c>
      <c r="L223" s="40">
        <f t="shared" si="25"/>
        <v>1.6356907726594287</v>
      </c>
      <c r="N223" s="29" t="s">
        <v>70</v>
      </c>
      <c r="O223" s="23" t="s">
        <v>76</v>
      </c>
      <c r="P223" s="130">
        <f t="shared" si="26"/>
        <v>53.69300301917446</v>
      </c>
    </row>
    <row r="224" spans="1:16" ht="13.5">
      <c r="A224" s="3" t="s">
        <v>72</v>
      </c>
      <c r="B224" s="55">
        <f>50+7/12</f>
        <v>50.583333333333336</v>
      </c>
      <c r="C224" s="6">
        <v>16.333</v>
      </c>
      <c r="D224" s="6">
        <v>4.75</v>
      </c>
      <c r="E224" s="25">
        <v>58814</v>
      </c>
      <c r="F224" s="3">
        <f t="shared" si="23"/>
        <v>0.004123439637756359</v>
      </c>
      <c r="G224" s="39">
        <f t="shared" si="24"/>
        <v>2558.6736111111113</v>
      </c>
      <c r="H224" s="37">
        <f t="shared" si="28"/>
        <v>31.647000000000002</v>
      </c>
      <c r="I224" s="14">
        <v>27.5</v>
      </c>
      <c r="J224" s="46">
        <v>54</v>
      </c>
      <c r="K224" s="6">
        <f t="shared" si="22"/>
        <v>0.5860555555555556</v>
      </c>
      <c r="L224" s="40">
        <f t="shared" si="25"/>
        <v>1.7063228742060859</v>
      </c>
      <c r="M224" s="3" t="s">
        <v>71</v>
      </c>
      <c r="N224" s="29" t="s">
        <v>73</v>
      </c>
      <c r="O224" s="23" t="s">
        <v>76</v>
      </c>
      <c r="P224" s="130">
        <f t="shared" si="26"/>
        <v>49.18175978652745</v>
      </c>
    </row>
    <row r="225" spans="1:16" ht="13.5">
      <c r="A225" s="3" t="s">
        <v>72</v>
      </c>
      <c r="B225" s="55">
        <f>50+7/12</f>
        <v>50.583333333333336</v>
      </c>
      <c r="C225" s="6">
        <v>16.333</v>
      </c>
      <c r="D225" s="6">
        <v>4.75</v>
      </c>
      <c r="E225" s="25">
        <v>58814</v>
      </c>
      <c r="F225" s="3">
        <f t="shared" si="23"/>
        <v>0.004123439637756359</v>
      </c>
      <c r="G225" s="39">
        <f t="shared" si="24"/>
        <v>2558.6736111111113</v>
      </c>
      <c r="H225" s="37">
        <f t="shared" si="28"/>
        <v>44.305800000000005</v>
      </c>
      <c r="I225" s="14">
        <v>38.5</v>
      </c>
      <c r="J225" s="46">
        <v>125</v>
      </c>
      <c r="K225" s="6">
        <f aca="true" t="shared" si="29" ref="K225:K233">H225/J225</f>
        <v>0.35444640000000005</v>
      </c>
      <c r="L225" s="40">
        <f t="shared" si="25"/>
        <v>2.8213010486211734</v>
      </c>
      <c r="M225" s="3" t="s">
        <v>71</v>
      </c>
      <c r="N225" s="29" t="s">
        <v>73</v>
      </c>
      <c r="O225" s="23" t="s">
        <v>76</v>
      </c>
      <c r="P225" s="130">
        <f t="shared" si="26"/>
        <v>57.52724095991065</v>
      </c>
    </row>
    <row r="226" spans="1:16" ht="13.5">
      <c r="A226" s="3" t="s">
        <v>18</v>
      </c>
      <c r="B226" s="55">
        <v>52.25</v>
      </c>
      <c r="C226" s="6">
        <v>15.5</v>
      </c>
      <c r="D226" s="6">
        <f>44/12</f>
        <v>3.6666666666666665</v>
      </c>
      <c r="E226" s="25">
        <v>46000</v>
      </c>
      <c r="F226" s="3">
        <f t="shared" si="23"/>
        <v>0.004662524041201569</v>
      </c>
      <c r="G226" s="39">
        <f t="shared" si="24"/>
        <v>2730.0625</v>
      </c>
      <c r="H226" s="37">
        <f t="shared" si="28"/>
        <v>35.44464</v>
      </c>
      <c r="I226" s="14">
        <v>30.8</v>
      </c>
      <c r="J226" s="46">
        <v>55</v>
      </c>
      <c r="K226" s="6">
        <f t="shared" si="29"/>
        <v>0.644448</v>
      </c>
      <c r="L226" s="40">
        <f t="shared" si="25"/>
        <v>1.5517155767416455</v>
      </c>
      <c r="M226" s="3" t="s">
        <v>17</v>
      </c>
      <c r="N226" s="29" t="s">
        <v>19</v>
      </c>
      <c r="O226" s="23" t="s">
        <v>76</v>
      </c>
      <c r="P226" s="130">
        <f t="shared" si="26"/>
        <v>54.53940927909795</v>
      </c>
    </row>
    <row r="227" spans="1:16" ht="13.5">
      <c r="A227" s="3" t="s">
        <v>18</v>
      </c>
      <c r="B227" s="55">
        <v>52.25</v>
      </c>
      <c r="C227" s="6">
        <v>15.5</v>
      </c>
      <c r="D227" s="6">
        <f>44/12</f>
        <v>3.6666666666666665</v>
      </c>
      <c r="E227" s="25">
        <v>46000</v>
      </c>
      <c r="F227" s="3">
        <f t="shared" si="23"/>
        <v>0.004662524041201569</v>
      </c>
      <c r="G227" s="39">
        <f t="shared" si="24"/>
        <v>2730.0625</v>
      </c>
      <c r="H227" s="37">
        <f t="shared" si="28"/>
        <v>39.58752</v>
      </c>
      <c r="I227" s="14">
        <v>34.4</v>
      </c>
      <c r="J227" s="46">
        <v>70</v>
      </c>
      <c r="K227" s="6">
        <f t="shared" si="29"/>
        <v>0.5655359999999999</v>
      </c>
      <c r="L227" s="40">
        <f t="shared" si="25"/>
        <v>1.7682340293102474</v>
      </c>
      <c r="M227" s="3" t="s">
        <v>17</v>
      </c>
      <c r="N227" s="29" t="s">
        <v>19</v>
      </c>
      <c r="O227" s="23" t="s">
        <v>76</v>
      </c>
      <c r="P227" s="130">
        <f t="shared" si="26"/>
        <v>57.27065766311428</v>
      </c>
    </row>
    <row r="228" spans="1:16" ht="13.5">
      <c r="A228" s="3" t="s">
        <v>21</v>
      </c>
      <c r="B228" s="55">
        <v>52.5</v>
      </c>
      <c r="C228" s="6">
        <v>16</v>
      </c>
      <c r="D228" s="6">
        <v>4.3333</v>
      </c>
      <c r="E228" s="25">
        <v>40000</v>
      </c>
      <c r="F228" s="3">
        <f t="shared" si="23"/>
        <v>0.005</v>
      </c>
      <c r="G228" s="39">
        <f t="shared" si="24"/>
        <v>2756.25</v>
      </c>
      <c r="H228" s="37">
        <f t="shared" si="28"/>
        <v>17.837400000000002</v>
      </c>
      <c r="I228" s="14">
        <v>15.5</v>
      </c>
      <c r="J228" s="46">
        <v>25</v>
      </c>
      <c r="K228" s="6">
        <f t="shared" si="29"/>
        <v>0.7134960000000001</v>
      </c>
      <c r="L228" s="40">
        <f t="shared" si="25"/>
        <v>1.4015495531860023</v>
      </c>
      <c r="M228" s="3" t="s">
        <v>20</v>
      </c>
      <c r="N228" s="29" t="s">
        <v>22</v>
      </c>
      <c r="O228" s="23" t="s">
        <v>76</v>
      </c>
      <c r="P228" s="130">
        <f t="shared" si="26"/>
        <v>43.36768360590361</v>
      </c>
    </row>
    <row r="229" spans="1:16" ht="13.5">
      <c r="A229" s="3" t="s">
        <v>21</v>
      </c>
      <c r="B229" s="55">
        <v>52.5</v>
      </c>
      <c r="C229" s="6">
        <v>16</v>
      </c>
      <c r="D229" s="6">
        <v>4.3333</v>
      </c>
      <c r="E229" s="25">
        <v>40000</v>
      </c>
      <c r="F229" s="3">
        <f t="shared" si="23"/>
        <v>0.005</v>
      </c>
      <c r="G229" s="39">
        <f t="shared" si="24"/>
        <v>2756.25</v>
      </c>
      <c r="H229" s="37">
        <f t="shared" si="28"/>
        <v>37.9764</v>
      </c>
      <c r="I229" s="14">
        <v>33</v>
      </c>
      <c r="J229" s="46">
        <v>80</v>
      </c>
      <c r="K229" s="6">
        <f t="shared" si="29"/>
        <v>0.474705</v>
      </c>
      <c r="L229" s="40">
        <f t="shared" si="25"/>
        <v>2.1065714496371433</v>
      </c>
      <c r="M229" s="3" t="s">
        <v>20</v>
      </c>
      <c r="N229" s="29" t="s">
        <v>22</v>
      </c>
      <c r="O229" s="23" t="s">
        <v>76</v>
      </c>
      <c r="P229" s="130">
        <f t="shared" si="26"/>
        <v>56.644585472649595</v>
      </c>
    </row>
    <row r="230" spans="1:16" ht="13.5">
      <c r="A230" s="3" t="s">
        <v>36</v>
      </c>
      <c r="B230" s="55">
        <v>53</v>
      </c>
      <c r="C230" s="6">
        <v>15.25</v>
      </c>
      <c r="D230" s="6">
        <f>4+7/12</f>
        <v>4.583333333333333</v>
      </c>
      <c r="E230" s="25">
        <v>50000</v>
      </c>
      <c r="F230" s="3">
        <f t="shared" si="23"/>
        <v>0.00447213595499958</v>
      </c>
      <c r="G230" s="39">
        <f t="shared" si="24"/>
        <v>2809</v>
      </c>
      <c r="H230" s="37">
        <f t="shared" si="28"/>
        <v>10.9326</v>
      </c>
      <c r="I230" s="14">
        <v>9.5</v>
      </c>
      <c r="J230" s="46">
        <v>12</v>
      </c>
      <c r="K230" s="6">
        <f t="shared" si="29"/>
        <v>0.91105</v>
      </c>
      <c r="L230" s="40">
        <f t="shared" si="25"/>
        <v>1.0976345974425115</v>
      </c>
      <c r="M230" s="3" t="s">
        <v>35</v>
      </c>
      <c r="N230" s="29" t="s">
        <v>37</v>
      </c>
      <c r="O230" s="23" t="s">
        <v>76</v>
      </c>
      <c r="P230" s="130">
        <f t="shared" si="26"/>
        <v>39.6940074653764</v>
      </c>
    </row>
    <row r="231" spans="1:16" ht="13.5">
      <c r="A231" s="3" t="s">
        <v>36</v>
      </c>
      <c r="B231" s="55">
        <v>53</v>
      </c>
      <c r="C231" s="6">
        <v>15.25</v>
      </c>
      <c r="D231" s="6">
        <f>4+7/12</f>
        <v>4.583333333333333</v>
      </c>
      <c r="E231" s="25">
        <v>50000</v>
      </c>
      <c r="F231" s="3">
        <f t="shared" si="23"/>
        <v>0.00447213595499958</v>
      </c>
      <c r="G231" s="39">
        <f t="shared" si="24"/>
        <v>2809</v>
      </c>
      <c r="H231" s="37">
        <f t="shared" si="28"/>
        <v>20.7144</v>
      </c>
      <c r="I231" s="14">
        <v>18</v>
      </c>
      <c r="J231" s="46">
        <v>26.3</v>
      </c>
      <c r="K231" s="6">
        <f t="shared" si="29"/>
        <v>0.7876197718631179</v>
      </c>
      <c r="L231" s="40">
        <f t="shared" si="25"/>
        <v>1.2696481674583864</v>
      </c>
      <c r="M231" s="3" t="s">
        <v>35</v>
      </c>
      <c r="N231" s="29" t="s">
        <v>37</v>
      </c>
      <c r="O231" s="23" t="s">
        <v>76</v>
      </c>
      <c r="P231" s="130">
        <f t="shared" si="26"/>
        <v>46.1427883720816</v>
      </c>
    </row>
    <row r="232" spans="1:16" ht="13.5">
      <c r="A232" s="3" t="s">
        <v>9</v>
      </c>
      <c r="B232" s="55">
        <v>59.3333</v>
      </c>
      <c r="C232" s="6">
        <f>17.166666</f>
        <v>17.166666</v>
      </c>
      <c r="D232" s="6">
        <f>4+11/12</f>
        <v>4.916666666666667</v>
      </c>
      <c r="E232" s="25">
        <v>53000</v>
      </c>
      <c r="F232" s="3">
        <f t="shared" si="23"/>
        <v>0.004343722427630693</v>
      </c>
      <c r="G232" s="39">
        <f t="shared" si="24"/>
        <v>3520.4404888900003</v>
      </c>
      <c r="H232" s="36">
        <v>20</v>
      </c>
      <c r="I232" s="14"/>
      <c r="J232" s="46">
        <v>45</v>
      </c>
      <c r="K232" s="6">
        <f t="shared" si="29"/>
        <v>0.4444444444444444</v>
      </c>
      <c r="L232" s="40">
        <f t="shared" si="25"/>
        <v>2.25</v>
      </c>
      <c r="M232" s="3" t="s">
        <v>8</v>
      </c>
      <c r="N232" s="29" t="s">
        <v>10</v>
      </c>
      <c r="O232" s="23" t="s">
        <v>76</v>
      </c>
      <c r="P232" s="130">
        <f t="shared" si="26"/>
        <v>57.51887284702286</v>
      </c>
    </row>
    <row r="233" spans="1:16" ht="13.5">
      <c r="A233" s="3" t="s">
        <v>9</v>
      </c>
      <c r="B233" s="55">
        <v>59.3333</v>
      </c>
      <c r="C233" s="6">
        <f>17.166666</f>
        <v>17.166666</v>
      </c>
      <c r="D233" s="6">
        <f>4+11/12</f>
        <v>4.916666666666667</v>
      </c>
      <c r="E233" s="25">
        <v>53000</v>
      </c>
      <c r="F233" s="3">
        <f t="shared" si="23"/>
        <v>0.004343722427630693</v>
      </c>
      <c r="G233" s="39">
        <f t="shared" si="24"/>
        <v>3520.4404888900003</v>
      </c>
      <c r="H233" s="36">
        <v>24</v>
      </c>
      <c r="I233" s="14"/>
      <c r="J233" s="46">
        <v>56</v>
      </c>
      <c r="K233" s="6">
        <f t="shared" si="29"/>
        <v>0.42857142857142855</v>
      </c>
      <c r="L233" s="40">
        <f t="shared" si="25"/>
        <v>2.3333333333333335</v>
      </c>
      <c r="M233" s="3" t="s">
        <v>8</v>
      </c>
      <c r="N233" s="29" t="s">
        <v>10</v>
      </c>
      <c r="O233" s="23" t="s">
        <v>76</v>
      </c>
      <c r="P233" s="130">
        <f t="shared" si="26"/>
        <v>60.15592570302286</v>
      </c>
    </row>
  </sheetData>
  <hyperlinks>
    <hyperlink ref="K1" r:id="rId1" display="http://boatwakes.homestead.com/files/graph.htm"/>
    <hyperlink ref="A3" r:id="rId2" display="http://boatwakes.homestead.com/files/fuel.xls"/>
    <hyperlink ref="A2" r:id="rId3" display="http://fuel.boatwakes.org/"/>
    <hyperlink ref="C1" r:id="rId4" display="http://boatwakes.org/"/>
  </hyperlinks>
  <printOptions/>
  <pageMargins left="0" right="0" top="0" bottom="0" header="0" footer="0"/>
  <pageSetup fitToHeight="3" fitToWidth="1" orientation="portrait" scale="67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zoomScale="75" zoomScaleNormal="75" workbookViewId="0" topLeftCell="A1">
      <selection activeCell="J3" sqref="J3"/>
    </sheetView>
  </sheetViews>
  <sheetFormatPr defaultColWidth="9.140625" defaultRowHeight="12.75"/>
  <sheetData/>
  <printOptions/>
  <pageMargins left="0.25" right="0.25" top="0.5" bottom="0.5" header="0.5" footer="0.5"/>
  <pageSetup fitToHeight="1" fitToWidth="1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7"/>
  <sheetViews>
    <sheetView workbookViewId="0" topLeftCell="A1">
      <selection activeCell="A1" sqref="A1"/>
    </sheetView>
  </sheetViews>
  <sheetFormatPr defaultColWidth="9.140625" defaultRowHeight="12.75"/>
  <cols>
    <col min="1" max="1" width="20.28125" style="49" customWidth="1"/>
    <col min="2" max="2" width="6.7109375" style="67" customWidth="1"/>
    <col min="3" max="4" width="6.7109375" style="48" customWidth="1"/>
    <col min="5" max="5" width="7.140625" style="73" customWidth="1"/>
    <col min="6" max="7" width="6.7109375" style="48" customWidth="1"/>
    <col min="8" max="8" width="6.7109375" style="79" customWidth="1"/>
    <col min="9" max="9" width="6.7109375" style="48" customWidth="1"/>
    <col min="10" max="10" width="6.7109375" style="77" customWidth="1"/>
    <col min="11" max="11" width="6.7109375" style="48" customWidth="1"/>
    <col min="12" max="12" width="6.7109375" style="65" customWidth="1"/>
    <col min="13" max="16384" width="8.8515625" style="48" customWidth="1"/>
  </cols>
  <sheetData>
    <row r="1" spans="1:12" s="60" customFormat="1" ht="41.25">
      <c r="A1" s="126" t="s">
        <v>202</v>
      </c>
      <c r="B1" s="68" t="s">
        <v>188</v>
      </c>
      <c r="C1" s="59" t="s">
        <v>147</v>
      </c>
      <c r="D1" s="59" t="s">
        <v>148</v>
      </c>
      <c r="E1" s="70" t="s">
        <v>153</v>
      </c>
      <c r="F1" s="59" t="s">
        <v>146</v>
      </c>
      <c r="G1" s="59" t="s">
        <v>185</v>
      </c>
      <c r="H1" s="80" t="s">
        <v>149</v>
      </c>
      <c r="I1" s="59" t="s">
        <v>150</v>
      </c>
      <c r="J1" s="74" t="s">
        <v>151</v>
      </c>
      <c r="K1" s="59" t="s">
        <v>189</v>
      </c>
      <c r="L1" s="62" t="s">
        <v>152</v>
      </c>
    </row>
    <row r="2" spans="1:12" s="60" customFormat="1" ht="13.5">
      <c r="A2" s="98" t="s">
        <v>190</v>
      </c>
      <c r="B2" s="93"/>
      <c r="C2" s="92"/>
      <c r="D2" s="92"/>
      <c r="E2" s="94"/>
      <c r="F2" s="92"/>
      <c r="G2" s="92"/>
      <c r="H2" s="95"/>
      <c r="I2" s="92"/>
      <c r="J2" s="96"/>
      <c r="K2" s="92"/>
      <c r="L2" s="97"/>
    </row>
    <row r="3" spans="1:12" s="67" customFormat="1" ht="13.5">
      <c r="A3" s="56" t="s">
        <v>188</v>
      </c>
      <c r="B3" s="66">
        <v>1</v>
      </c>
      <c r="C3" s="66"/>
      <c r="D3" s="66"/>
      <c r="E3" s="71"/>
      <c r="F3" s="66"/>
      <c r="G3" s="66"/>
      <c r="H3" s="78"/>
      <c r="I3" s="66"/>
      <c r="J3" s="75"/>
      <c r="K3" s="66"/>
      <c r="L3" s="66"/>
    </row>
    <row r="4" spans="1:12" ht="13.5">
      <c r="A4" s="50" t="s">
        <v>147</v>
      </c>
      <c r="B4" s="66">
        <v>0.9377722620379804</v>
      </c>
      <c r="C4" s="61">
        <v>1</v>
      </c>
      <c r="D4" s="61"/>
      <c r="E4" s="71"/>
      <c r="F4" s="61"/>
      <c r="G4" s="61"/>
      <c r="H4" s="78"/>
      <c r="I4" s="61"/>
      <c r="J4" s="75"/>
      <c r="K4" s="61"/>
      <c r="L4" s="63"/>
    </row>
    <row r="5" spans="1:12" ht="13.5">
      <c r="A5" s="50" t="s">
        <v>148</v>
      </c>
      <c r="B5" s="66">
        <v>0.8431071679897207</v>
      </c>
      <c r="C5" s="61">
        <v>0.756564681716099</v>
      </c>
      <c r="D5" s="61">
        <v>1</v>
      </c>
      <c r="E5" s="71"/>
      <c r="F5" s="61"/>
      <c r="G5" s="61"/>
      <c r="H5" s="78"/>
      <c r="I5" s="61"/>
      <c r="J5" s="75"/>
      <c r="K5" s="61"/>
      <c r="L5" s="63"/>
    </row>
    <row r="6" spans="1:12" s="73" customFormat="1" ht="13.5">
      <c r="A6" s="57" t="s">
        <v>186</v>
      </c>
      <c r="B6" s="71">
        <v>0.9128148974659306</v>
      </c>
      <c r="C6" s="71">
        <v>0.9251627427568516</v>
      </c>
      <c r="D6" s="71">
        <v>0.8623443117481016</v>
      </c>
      <c r="E6" s="71">
        <v>1</v>
      </c>
      <c r="F6" s="71"/>
      <c r="G6" s="71"/>
      <c r="H6" s="78"/>
      <c r="I6" s="71"/>
      <c r="J6" s="75"/>
      <c r="K6" s="71"/>
      <c r="L6" s="71"/>
    </row>
    <row r="7" spans="1:12" ht="13.5">
      <c r="A7" s="50" t="s">
        <v>187</v>
      </c>
      <c r="B7" s="66">
        <v>-0.8871613209367913</v>
      </c>
      <c r="C7" s="61">
        <v>-0.865347908294674</v>
      </c>
      <c r="D7" s="61">
        <v>-0.7978766680444412</v>
      </c>
      <c r="E7" s="71">
        <v>-0.7677997998442754</v>
      </c>
      <c r="F7" s="61">
        <v>1</v>
      </c>
      <c r="G7" s="61"/>
      <c r="H7" s="78"/>
      <c r="I7" s="61"/>
      <c r="J7" s="75"/>
      <c r="K7" s="61"/>
      <c r="L7" s="63"/>
    </row>
    <row r="8" spans="1:12" ht="13.5">
      <c r="A8" s="50" t="s">
        <v>185</v>
      </c>
      <c r="B8" s="66">
        <v>0.981014864795451</v>
      </c>
      <c r="C8" s="61">
        <v>0.9238370755322282</v>
      </c>
      <c r="D8" s="61">
        <v>0.8484399254965787</v>
      </c>
      <c r="E8" s="71">
        <v>0.9450968815050487</v>
      </c>
      <c r="F8" s="61">
        <v>-0.8058497408902185</v>
      </c>
      <c r="G8" s="61">
        <v>1</v>
      </c>
      <c r="H8" s="78"/>
      <c r="I8" s="61"/>
      <c r="J8" s="75"/>
      <c r="K8" s="61"/>
      <c r="L8" s="63"/>
    </row>
    <row r="9" spans="1:12" s="106" customFormat="1" ht="13.5">
      <c r="A9" s="100"/>
      <c r="B9" s="101"/>
      <c r="C9" s="102"/>
      <c r="D9" s="102"/>
      <c r="E9" s="103"/>
      <c r="F9" s="102"/>
      <c r="G9" s="102"/>
      <c r="H9" s="82"/>
      <c r="I9" s="102"/>
      <c r="J9" s="104"/>
      <c r="K9" s="102"/>
      <c r="L9" s="105"/>
    </row>
    <row r="10" spans="1:12" s="107" customFormat="1" ht="13.5">
      <c r="A10" s="98" t="s">
        <v>191</v>
      </c>
      <c r="B10" s="66"/>
      <c r="C10" s="61"/>
      <c r="D10" s="61"/>
      <c r="E10" s="71"/>
      <c r="F10" s="61"/>
      <c r="G10" s="61"/>
      <c r="H10" s="78"/>
      <c r="I10" s="61"/>
      <c r="J10" s="75"/>
      <c r="K10" s="61"/>
      <c r="L10" s="63"/>
    </row>
    <row r="11" spans="1:12" s="108" customFormat="1" ht="13.5">
      <c r="A11" s="52" t="s">
        <v>149</v>
      </c>
      <c r="B11" s="78">
        <v>0.12402891369001902</v>
      </c>
      <c r="C11" s="78">
        <v>0.058034804825676155</v>
      </c>
      <c r="D11" s="78">
        <v>-0.0018815191425135059</v>
      </c>
      <c r="E11" s="78">
        <v>0.06706759958722752</v>
      </c>
      <c r="F11" s="78">
        <v>-0.061816069796858004</v>
      </c>
      <c r="G11" s="78">
        <v>0.11499901024075412</v>
      </c>
      <c r="H11" s="78">
        <v>1</v>
      </c>
      <c r="I11" s="78"/>
      <c r="J11" s="78"/>
      <c r="K11" s="78"/>
      <c r="L11" s="78"/>
    </row>
    <row r="12" spans="1:12" s="89" customFormat="1" ht="13.5">
      <c r="A12" s="99" t="s">
        <v>150</v>
      </c>
      <c r="B12" s="83">
        <v>0.19853503944127376</v>
      </c>
      <c r="C12" s="84">
        <v>0.17139522871659407</v>
      </c>
      <c r="D12" s="84">
        <v>0.07330856062166355</v>
      </c>
      <c r="E12" s="85">
        <v>0.15179568545147099</v>
      </c>
      <c r="F12" s="84">
        <v>-0.15465003277971764</v>
      </c>
      <c r="G12" s="84">
        <v>0.2014401253086105</v>
      </c>
      <c r="H12" s="86">
        <v>0.9999974953146332</v>
      </c>
      <c r="I12" s="84">
        <v>1</v>
      </c>
      <c r="J12" s="87"/>
      <c r="K12" s="84"/>
      <c r="L12" s="88"/>
    </row>
    <row r="13" spans="1:12" s="107" customFormat="1" ht="13.5">
      <c r="A13" s="50"/>
      <c r="B13" s="66"/>
      <c r="C13" s="61"/>
      <c r="D13" s="61"/>
      <c r="E13" s="71"/>
      <c r="F13" s="61"/>
      <c r="G13" s="61"/>
      <c r="H13" s="78"/>
      <c r="I13" s="61"/>
      <c r="J13" s="75"/>
      <c r="K13" s="61"/>
      <c r="L13" s="63"/>
    </row>
    <row r="14" spans="1:12" s="107" customFormat="1" ht="13.5">
      <c r="A14" s="98" t="s">
        <v>192</v>
      </c>
      <c r="B14" s="66"/>
      <c r="C14" s="61"/>
      <c r="D14" s="61"/>
      <c r="E14" s="71"/>
      <c r="F14" s="61"/>
      <c r="G14" s="61"/>
      <c r="H14" s="78"/>
      <c r="I14" s="61"/>
      <c r="J14" s="75"/>
      <c r="K14" s="61"/>
      <c r="L14" s="63"/>
    </row>
    <row r="15" spans="1:12" s="77" customFormat="1" ht="13.5">
      <c r="A15" s="51" t="s">
        <v>151</v>
      </c>
      <c r="B15" s="75">
        <v>0.6533994052949341</v>
      </c>
      <c r="C15" s="75">
        <v>0.58195653577947</v>
      </c>
      <c r="D15" s="75">
        <v>0.4956917576802912</v>
      </c>
      <c r="E15" s="75">
        <v>0.6233156930778522</v>
      </c>
      <c r="F15" s="75">
        <v>-0.5342025741893605</v>
      </c>
      <c r="G15" s="90">
        <v>0.65742221467274</v>
      </c>
      <c r="H15" s="91">
        <v>0.6330222413847999</v>
      </c>
      <c r="I15" s="75">
        <v>0.6264301081829685</v>
      </c>
      <c r="J15" s="75">
        <v>1</v>
      </c>
      <c r="K15" s="75"/>
      <c r="L15" s="75"/>
    </row>
    <row r="16" spans="1:12" ht="13.5">
      <c r="A16" s="50" t="s">
        <v>189</v>
      </c>
      <c r="B16" s="66">
        <v>-0.5868348100087443</v>
      </c>
      <c r="C16" s="61">
        <v>-0.5037934989779635</v>
      </c>
      <c r="D16" s="61">
        <v>-0.40206869030289893</v>
      </c>
      <c r="E16" s="71">
        <v>-0.4523970668114529</v>
      </c>
      <c r="F16" s="61">
        <v>0.6430218527648502</v>
      </c>
      <c r="G16" s="61">
        <v>-0.5198043496624737</v>
      </c>
      <c r="H16" s="78">
        <v>-0.40570839023616734</v>
      </c>
      <c r="I16" s="61">
        <v>-0.4561664159368722</v>
      </c>
      <c r="J16" s="75">
        <v>-0.5997696215278622</v>
      </c>
      <c r="K16" s="61">
        <v>1</v>
      </c>
      <c r="L16" s="63"/>
    </row>
    <row r="17" spans="1:12" s="65" customFormat="1" ht="14.25" thickBot="1">
      <c r="A17" s="58" t="s">
        <v>152</v>
      </c>
      <c r="B17" s="69">
        <v>0.8264387273572407</v>
      </c>
      <c r="C17" s="64">
        <v>0.7579734028175434</v>
      </c>
      <c r="D17" s="64">
        <v>0.7121967074644278</v>
      </c>
      <c r="E17" s="72">
        <v>0.7988793528016088</v>
      </c>
      <c r="F17" s="64">
        <v>-0.7108329617457786</v>
      </c>
      <c r="G17" s="64">
        <v>0.8341281770860618</v>
      </c>
      <c r="H17" s="81">
        <v>0.30422560149376027</v>
      </c>
      <c r="I17" s="64">
        <v>0.3607884249899122</v>
      </c>
      <c r="J17" s="76">
        <v>0.8681209796910587</v>
      </c>
      <c r="K17" s="64">
        <v>-0.7194135213857125</v>
      </c>
      <c r="L17" s="64">
        <v>1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8"/>
  <sheetViews>
    <sheetView zoomScale="90" zoomScaleNormal="90" workbookViewId="0" topLeftCell="A1">
      <selection activeCell="A1" sqref="A1:I2"/>
    </sheetView>
  </sheetViews>
  <sheetFormatPr defaultColWidth="9.140625" defaultRowHeight="12.75"/>
  <cols>
    <col min="1" max="1" width="15.421875" style="109" customWidth="1"/>
    <col min="2" max="2" width="14.7109375" style="109" customWidth="1"/>
    <col min="3" max="5" width="8.8515625" style="109" customWidth="1"/>
    <col min="6" max="6" width="10.7109375" style="109" customWidth="1"/>
    <col min="7" max="16384" width="8.8515625" style="109" customWidth="1"/>
  </cols>
  <sheetData>
    <row r="1" ht="12.75">
      <c r="A1" s="127" t="s">
        <v>201</v>
      </c>
    </row>
    <row r="2" spans="2:8" ht="13.5">
      <c r="B2" s="117" t="s">
        <v>204</v>
      </c>
      <c r="C2" s="109">
        <f>B34</f>
        <v>-14.289533906247065</v>
      </c>
      <c r="D2" s="132" t="s">
        <v>205</v>
      </c>
      <c r="E2" s="109">
        <f>B36</f>
        <v>0.6592632143998711</v>
      </c>
      <c r="F2" s="133" t="s">
        <v>206</v>
      </c>
      <c r="G2" s="109">
        <f>B35</f>
        <v>0.016652217501675434</v>
      </c>
      <c r="H2" s="133" t="s">
        <v>207</v>
      </c>
    </row>
    <row r="3" spans="2:8" ht="12.75">
      <c r="B3" s="115" t="s">
        <v>208</v>
      </c>
      <c r="F3" s="115" t="s">
        <v>140</v>
      </c>
      <c r="H3" s="115" t="s">
        <v>183</v>
      </c>
    </row>
    <row r="4" spans="2:8" ht="12.75">
      <c r="B4" s="134">
        <f aca="true" t="shared" si="0" ref="B4:B9">B$34+B$35*H4^2+B$36*F4</f>
        <v>2.260301310421175</v>
      </c>
      <c r="F4" s="109">
        <v>15</v>
      </c>
      <c r="H4" s="109">
        <v>20</v>
      </c>
    </row>
    <row r="5" spans="2:8" ht="12.75">
      <c r="B5" s="134">
        <f t="shared" si="0"/>
        <v>5.556617382420532</v>
      </c>
      <c r="F5" s="109">
        <v>20</v>
      </c>
      <c r="H5" s="109">
        <v>20</v>
      </c>
    </row>
    <row r="6" spans="2:8" ht="12.75">
      <c r="B6" s="134">
        <f t="shared" si="0"/>
        <v>8.852933454419885</v>
      </c>
      <c r="F6" s="109">
        <v>25</v>
      </c>
      <c r="H6" s="109">
        <v>20</v>
      </c>
    </row>
    <row r="7" spans="2:8" ht="12.75">
      <c r="B7" s="134">
        <f t="shared" si="0"/>
        <v>12.599682392296858</v>
      </c>
      <c r="F7" s="109">
        <v>25</v>
      </c>
      <c r="H7" s="109">
        <v>25</v>
      </c>
    </row>
    <row r="8" spans="2:8" ht="12.75">
      <c r="B8" s="134">
        <f t="shared" si="0"/>
        <v>17.179042205257602</v>
      </c>
      <c r="F8" s="109">
        <v>25</v>
      </c>
      <c r="H8" s="109">
        <v>30</v>
      </c>
    </row>
    <row r="9" spans="2:8" ht="12.75">
      <c r="B9" s="134">
        <f t="shared" si="0"/>
        <v>22.591012893302118</v>
      </c>
      <c r="F9" s="109">
        <v>25</v>
      </c>
      <c r="H9" s="109">
        <v>35</v>
      </c>
    </row>
    <row r="10" ht="12.75">
      <c r="A10" s="109" t="s">
        <v>197</v>
      </c>
    </row>
    <row r="11" ht="12.75">
      <c r="A11" s="109" t="s">
        <v>194</v>
      </c>
    </row>
    <row r="12" ht="12.75">
      <c r="A12" s="109" t="s">
        <v>195</v>
      </c>
    </row>
    <row r="13" ht="12.75">
      <c r="A13" s="109" t="s">
        <v>196</v>
      </c>
    </row>
    <row r="14" ht="12.75">
      <c r="A14" s="109" t="s">
        <v>199</v>
      </c>
    </row>
    <row r="15" spans="1:2" ht="12.75">
      <c r="A15" s="125" t="s">
        <v>200</v>
      </c>
      <c r="B15" s="109" t="s">
        <v>209</v>
      </c>
    </row>
    <row r="18" ht="12.75">
      <c r="A18" s="109" t="s">
        <v>116</v>
      </c>
    </row>
    <row r="19" ht="13.5" thickBot="1"/>
    <row r="20" spans="1:2" ht="12.75">
      <c r="A20" s="119" t="s">
        <v>117</v>
      </c>
      <c r="B20" s="119"/>
    </row>
    <row r="21" spans="1:2" ht="12.75">
      <c r="A21" s="120" t="s">
        <v>118</v>
      </c>
      <c r="B21" s="120">
        <v>0.8643405055386164</v>
      </c>
    </row>
    <row r="22" spans="1:2" ht="12.75">
      <c r="A22" s="110" t="s">
        <v>119</v>
      </c>
      <c r="B22" s="110">
        <v>0.7470845095147509</v>
      </c>
    </row>
    <row r="23" spans="1:9" s="111" customFormat="1" ht="12.75">
      <c r="A23" s="110" t="s">
        <v>120</v>
      </c>
      <c r="B23" s="110">
        <v>0.7448561792021056</v>
      </c>
      <c r="C23" s="109"/>
      <c r="D23" s="109"/>
      <c r="E23" s="109"/>
      <c r="F23" s="109"/>
      <c r="G23" s="109"/>
      <c r="H23" s="109"/>
      <c r="I23" s="109"/>
    </row>
    <row r="24" spans="1:9" s="111" customFormat="1" ht="12.75">
      <c r="A24" s="120" t="s">
        <v>121</v>
      </c>
      <c r="B24" s="120">
        <v>8.348416174060528</v>
      </c>
      <c r="C24" s="109"/>
      <c r="D24" s="109"/>
      <c r="E24" s="109"/>
      <c r="F24" s="109"/>
      <c r="G24" s="109"/>
      <c r="H24" s="109"/>
      <c r="I24" s="109"/>
    </row>
    <row r="25" spans="1:9" s="111" customFormat="1" ht="13.5" thickBot="1">
      <c r="A25" s="121" t="s">
        <v>122</v>
      </c>
      <c r="B25" s="121">
        <v>230</v>
      </c>
      <c r="C25" s="109"/>
      <c r="D25" s="109"/>
      <c r="E25" s="109"/>
      <c r="F25" s="109"/>
      <c r="G25" s="109"/>
      <c r="H25" s="109"/>
      <c r="I25" s="109"/>
    </row>
    <row r="26" spans="1:9" s="111" customFormat="1" ht="12.75">
      <c r="A26" s="109"/>
      <c r="B26" s="109"/>
      <c r="C26" s="109"/>
      <c r="D26" s="109"/>
      <c r="E26" s="109"/>
      <c r="F26" s="109"/>
      <c r="G26" s="109"/>
      <c r="H26" s="109"/>
      <c r="I26" s="109"/>
    </row>
    <row r="27" spans="1:9" s="111" customFormat="1" ht="13.5" thickBot="1">
      <c r="A27" s="109" t="s">
        <v>123</v>
      </c>
      <c r="B27" s="109"/>
      <c r="C27" s="109"/>
      <c r="D27" s="109"/>
      <c r="E27" s="109"/>
      <c r="F27" s="109"/>
      <c r="G27" s="109"/>
      <c r="H27" s="109"/>
      <c r="I27" s="109"/>
    </row>
    <row r="28" spans="1:9" s="111" customFormat="1" ht="12.75">
      <c r="A28" s="122"/>
      <c r="B28" s="122" t="s">
        <v>128</v>
      </c>
      <c r="C28" s="122" t="s">
        <v>129</v>
      </c>
      <c r="D28" s="122" t="s">
        <v>130</v>
      </c>
      <c r="E28" s="122" t="s">
        <v>131</v>
      </c>
      <c r="F28" s="122" t="s">
        <v>132</v>
      </c>
      <c r="G28" s="109"/>
      <c r="H28" s="109"/>
      <c r="I28" s="109"/>
    </row>
    <row r="29" spans="1:9" s="111" customFormat="1" ht="12.75">
      <c r="A29" s="120" t="s">
        <v>124</v>
      </c>
      <c r="B29" s="120">
        <v>2</v>
      </c>
      <c r="C29" s="120">
        <v>46733.50354545381</v>
      </c>
      <c r="D29" s="120">
        <v>23366.751772726904</v>
      </c>
      <c r="E29" s="120">
        <v>335.26650213174565</v>
      </c>
      <c r="F29" s="120">
        <v>1.728666712836728E-68</v>
      </c>
      <c r="G29" s="109"/>
      <c r="H29" s="109"/>
      <c r="I29" s="109"/>
    </row>
    <row r="30" spans="1:9" s="111" customFormat="1" ht="12.75">
      <c r="A30" s="120" t="s">
        <v>125</v>
      </c>
      <c r="B30" s="120">
        <v>227</v>
      </c>
      <c r="C30" s="120">
        <v>15821.0039436766</v>
      </c>
      <c r="D30" s="120">
        <v>69.69605261531542</v>
      </c>
      <c r="E30" s="120"/>
      <c r="F30" s="120"/>
      <c r="G30" s="109"/>
      <c r="H30" s="109"/>
      <c r="I30" s="109"/>
    </row>
    <row r="31" spans="1:9" s="111" customFormat="1" ht="13.5" thickBot="1">
      <c r="A31" s="121" t="s">
        <v>126</v>
      </c>
      <c r="B31" s="121">
        <v>229</v>
      </c>
      <c r="C31" s="121">
        <v>62554.50748913041</v>
      </c>
      <c r="D31" s="121"/>
      <c r="E31" s="121"/>
      <c r="F31" s="121"/>
      <c r="G31" s="109"/>
      <c r="H31" s="109"/>
      <c r="I31" s="109"/>
    </row>
    <row r="32" spans="1:9" s="111" customFormat="1" ht="13.5" thickBot="1">
      <c r="A32" s="109"/>
      <c r="B32" s="109"/>
      <c r="C32" s="109"/>
      <c r="D32" s="109"/>
      <c r="E32" s="109"/>
      <c r="F32" s="109"/>
      <c r="G32" s="109"/>
      <c r="H32" s="109"/>
      <c r="I32" s="109"/>
    </row>
    <row r="33" spans="1:9" s="111" customFormat="1" ht="12.75">
      <c r="A33" s="113" t="s">
        <v>156</v>
      </c>
      <c r="B33" s="113" t="s">
        <v>133</v>
      </c>
      <c r="C33" s="122" t="s">
        <v>121</v>
      </c>
      <c r="D33" s="122" t="s">
        <v>134</v>
      </c>
      <c r="E33" s="122" t="s">
        <v>135</v>
      </c>
      <c r="F33" s="122" t="s">
        <v>136</v>
      </c>
      <c r="G33" s="122" t="s">
        <v>137</v>
      </c>
      <c r="H33" s="122" t="s">
        <v>138</v>
      </c>
      <c r="I33" s="122" t="s">
        <v>139</v>
      </c>
    </row>
    <row r="34" spans="1:9" s="111" customFormat="1" ht="12.75">
      <c r="A34" s="110" t="s">
        <v>127</v>
      </c>
      <c r="B34" s="110">
        <v>-14.289533906247065</v>
      </c>
      <c r="C34" s="120">
        <v>1.2552409729191756</v>
      </c>
      <c r="D34" s="120">
        <v>-11.383896968416726</v>
      </c>
      <c r="E34" s="120">
        <v>4.7565084565687865E-24</v>
      </c>
      <c r="F34" s="120">
        <v>-16.76294895469342</v>
      </c>
      <c r="G34" s="120">
        <v>-11.816118857800712</v>
      </c>
      <c r="H34" s="120">
        <v>-16.76294895469342</v>
      </c>
      <c r="I34" s="120">
        <v>-11.816118857800712</v>
      </c>
    </row>
    <row r="35" spans="1:9" s="111" customFormat="1" ht="12.75">
      <c r="A35" s="110" t="s">
        <v>184</v>
      </c>
      <c r="B35" s="110">
        <v>0.016652217501675434</v>
      </c>
      <c r="C35" s="120">
        <v>0.0009444487293693664</v>
      </c>
      <c r="D35" s="120">
        <v>17.631679713089945</v>
      </c>
      <c r="E35" s="120">
        <v>2.077874274020357E-44</v>
      </c>
      <c r="F35" s="120">
        <v>0.014791209336625165</v>
      </c>
      <c r="G35" s="120">
        <v>0.018513225666725704</v>
      </c>
      <c r="H35" s="120">
        <v>0.014791209336625165</v>
      </c>
      <c r="I35" s="120">
        <v>0.018513225666725704</v>
      </c>
    </row>
    <row r="36" spans="1:9" s="111" customFormat="1" ht="13.5" thickBot="1">
      <c r="A36" s="112" t="s">
        <v>155</v>
      </c>
      <c r="B36" s="112">
        <v>0.6592632143998711</v>
      </c>
      <c r="C36" s="121">
        <v>0.03921576742849358</v>
      </c>
      <c r="D36" s="121">
        <v>16.811177177699715</v>
      </c>
      <c r="E36" s="121">
        <v>9.701548075617897E-42</v>
      </c>
      <c r="F36" s="121">
        <v>0.5819897096413119</v>
      </c>
      <c r="G36" s="121">
        <v>0.7365367191584303</v>
      </c>
      <c r="H36" s="121">
        <v>0.5819897096413119</v>
      </c>
      <c r="I36" s="121">
        <v>0.7365367191584303</v>
      </c>
    </row>
    <row r="37" spans="1:9" s="111" customFormat="1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s="114" customFormat="1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9" s="111" customFormat="1" ht="12.75">
      <c r="A39" s="109"/>
      <c r="B39" s="109"/>
      <c r="C39" s="109"/>
      <c r="D39" s="109"/>
      <c r="E39" s="109"/>
      <c r="F39" s="109"/>
      <c r="G39" s="109"/>
      <c r="H39" s="109"/>
      <c r="I39" s="109"/>
    </row>
    <row r="40" spans="1:9" s="111" customFormat="1" ht="12.75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s="116" customFormat="1" ht="12.75">
      <c r="A41" s="109"/>
      <c r="E41" s="109"/>
      <c r="F41" s="109"/>
      <c r="G41" s="109"/>
      <c r="H41" s="109"/>
      <c r="I41" s="109"/>
    </row>
    <row r="42" spans="1:9" s="111" customFormat="1" ht="12.75">
      <c r="A42" s="109"/>
      <c r="E42" s="109"/>
      <c r="F42" s="109"/>
      <c r="G42" s="109"/>
      <c r="H42" s="109"/>
      <c r="I42" s="109"/>
    </row>
    <row r="43" spans="1:9" s="118" customFormat="1" ht="12.75">
      <c r="A43" s="109"/>
      <c r="E43" s="109"/>
      <c r="F43" s="109"/>
      <c r="G43" s="109"/>
      <c r="H43" s="109"/>
      <c r="I43" s="109"/>
    </row>
    <row r="44" spans="1:9" s="111" customFormat="1" ht="12.75">
      <c r="A44" s="109"/>
      <c r="E44" s="109"/>
      <c r="F44" s="109"/>
      <c r="G44" s="109"/>
      <c r="H44" s="109"/>
      <c r="I44" s="109"/>
    </row>
    <row r="45" spans="1:9" s="111" customFormat="1" ht="12.75">
      <c r="A45" s="109"/>
      <c r="E45" s="109"/>
      <c r="F45" s="109"/>
      <c r="G45" s="109"/>
      <c r="H45" s="109"/>
      <c r="I45" s="109"/>
    </row>
    <row r="46" spans="1:9" s="111" customFormat="1" ht="12.75">
      <c r="A46" s="109"/>
      <c r="E46" s="109"/>
      <c r="F46" s="109"/>
      <c r="G46" s="109"/>
      <c r="H46" s="109"/>
      <c r="I46" s="109"/>
    </row>
    <row r="47" spans="1:9" s="111" customFormat="1" ht="12.75">
      <c r="A47" s="109"/>
      <c r="E47" s="109"/>
      <c r="F47" s="109"/>
      <c r="G47" s="109"/>
      <c r="H47" s="109"/>
      <c r="I47" s="109"/>
    </row>
    <row r="48" spans="1:9" s="111" customFormat="1" ht="12.75">
      <c r="A48" s="117"/>
      <c r="B48" s="117"/>
      <c r="C48" s="117"/>
      <c r="D48" s="117"/>
      <c r="E48" s="117"/>
      <c r="F48" s="117"/>
      <c r="G48" s="117"/>
      <c r="H48" s="117"/>
      <c r="I48" s="117"/>
    </row>
    <row r="49" spans="1:9" s="111" customFormat="1" ht="12.75">
      <c r="A49" s="109"/>
      <c r="B49" s="109"/>
      <c r="C49" s="109"/>
      <c r="D49" s="109"/>
      <c r="E49" s="109"/>
      <c r="F49" s="109"/>
      <c r="G49" s="109"/>
      <c r="H49" s="109"/>
      <c r="I49" s="109"/>
    </row>
    <row r="50" spans="1:9" s="111" customFormat="1" ht="12.75">
      <c r="A50" s="109"/>
      <c r="B50" s="109"/>
      <c r="C50" s="109"/>
      <c r="D50" s="109"/>
      <c r="E50" s="109"/>
      <c r="F50" s="109"/>
      <c r="G50" s="109"/>
      <c r="H50" s="109"/>
      <c r="I50" s="109"/>
    </row>
    <row r="51" spans="1:9" s="111" customFormat="1" ht="12.75">
      <c r="A51" s="109"/>
      <c r="B51" s="109"/>
      <c r="C51" s="109"/>
      <c r="D51" s="109"/>
      <c r="E51" s="109"/>
      <c r="F51" s="109"/>
      <c r="G51" s="109"/>
      <c r="H51" s="109"/>
      <c r="I51" s="109"/>
    </row>
    <row r="52" spans="1:9" s="111" customFormat="1" ht="12.75">
      <c r="A52" s="109"/>
      <c r="B52" s="109"/>
      <c r="C52" s="109"/>
      <c r="D52" s="109"/>
      <c r="E52" s="109"/>
      <c r="F52" s="109"/>
      <c r="G52" s="109"/>
      <c r="H52" s="109"/>
      <c r="I52" s="109"/>
    </row>
    <row r="53" spans="1:9" s="111" customFormat="1" ht="12.75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s="111" customFormat="1" ht="12.7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s="111" customFormat="1" ht="12.75">
      <c r="A55" s="109"/>
      <c r="B55" s="109"/>
      <c r="C55" s="109"/>
      <c r="D55" s="109"/>
      <c r="E55" s="109"/>
      <c r="F55" s="109"/>
      <c r="G55" s="109"/>
      <c r="H55" s="109"/>
      <c r="I55" s="109"/>
    </row>
    <row r="56" spans="1:9" s="111" customFormat="1" ht="12.75">
      <c r="A56" s="109"/>
      <c r="B56" s="109"/>
      <c r="C56" s="109"/>
      <c r="D56" s="109"/>
      <c r="E56" s="109"/>
      <c r="F56" s="109"/>
      <c r="G56" s="109"/>
      <c r="H56" s="109"/>
      <c r="I56" s="109"/>
    </row>
    <row r="57" spans="1:9" s="111" customFormat="1" ht="12.75">
      <c r="A57" s="109"/>
      <c r="B57" s="109"/>
      <c r="C57" s="109"/>
      <c r="D57" s="109"/>
      <c r="E57" s="109"/>
      <c r="F57" s="109"/>
      <c r="G57" s="109"/>
      <c r="H57" s="109"/>
      <c r="I57" s="109"/>
    </row>
    <row r="58" spans="1:9" s="111" customFormat="1" ht="12.75">
      <c r="A58" s="109"/>
      <c r="B58" s="109"/>
      <c r="C58" s="109"/>
      <c r="D58" s="109"/>
      <c r="E58" s="109"/>
      <c r="F58" s="109"/>
      <c r="G58" s="109"/>
      <c r="H58" s="109"/>
      <c r="I58" s="109"/>
    </row>
    <row r="59" spans="1:9" s="111" customFormat="1" ht="12.7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s="111" customFormat="1" ht="12.75">
      <c r="A60" s="109"/>
      <c r="B60" s="109"/>
      <c r="C60" s="109"/>
      <c r="D60" s="109"/>
      <c r="E60" s="109"/>
      <c r="F60" s="109"/>
      <c r="G60" s="109"/>
      <c r="H60" s="109"/>
      <c r="I60" s="109"/>
    </row>
    <row r="61" spans="1:9" s="111" customFormat="1" ht="12.75">
      <c r="A61" s="109"/>
      <c r="B61" s="109"/>
      <c r="C61" s="109"/>
      <c r="D61" s="109"/>
      <c r="E61" s="109"/>
      <c r="F61" s="109"/>
      <c r="G61" s="109"/>
      <c r="H61" s="109"/>
      <c r="I61" s="109"/>
    </row>
    <row r="62" spans="1:9" s="111" customFormat="1" ht="12.75">
      <c r="A62" s="109"/>
      <c r="B62" s="109"/>
      <c r="C62" s="109"/>
      <c r="D62" s="109"/>
      <c r="E62" s="109"/>
      <c r="F62" s="109"/>
      <c r="G62" s="109"/>
      <c r="H62" s="109"/>
      <c r="I62" s="109"/>
    </row>
    <row r="63" spans="1:9" s="111" customFormat="1" ht="12.75">
      <c r="A63" s="109"/>
      <c r="B63" s="109"/>
      <c r="C63" s="109"/>
      <c r="D63" s="109"/>
      <c r="E63" s="109"/>
      <c r="F63" s="109"/>
      <c r="G63" s="109"/>
      <c r="H63" s="109"/>
      <c r="I63" s="109"/>
    </row>
    <row r="64" spans="1:9" s="111" customFormat="1" ht="12.75">
      <c r="A64" s="109"/>
      <c r="B64" s="109"/>
      <c r="C64" s="109"/>
      <c r="D64" s="109"/>
      <c r="E64" s="109"/>
      <c r="F64" s="109"/>
      <c r="G64" s="109"/>
      <c r="H64" s="109"/>
      <c r="I64" s="109"/>
    </row>
    <row r="65" spans="1:9" s="111" customFormat="1" ht="12.75">
      <c r="A65" s="109"/>
      <c r="B65" s="109"/>
      <c r="C65" s="109"/>
      <c r="D65" s="109"/>
      <c r="E65" s="109"/>
      <c r="F65" s="109"/>
      <c r="G65" s="109"/>
      <c r="H65" s="109"/>
      <c r="I65" s="109"/>
    </row>
    <row r="66" spans="1:9" s="111" customFormat="1" ht="12.75">
      <c r="A66" s="109"/>
      <c r="B66" s="109"/>
      <c r="C66" s="109"/>
      <c r="D66" s="109"/>
      <c r="E66" s="109"/>
      <c r="F66" s="109"/>
      <c r="G66" s="109"/>
      <c r="H66" s="109"/>
      <c r="I66" s="109"/>
    </row>
    <row r="67" spans="1:9" s="111" customFormat="1" ht="12.7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s="111" customFormat="1" ht="12.75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s="111" customFormat="1" ht="12.75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s="111" customFormat="1" ht="12.75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s="111" customFormat="1" ht="12.75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s="111" customFormat="1" ht="12.75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s="111" customFormat="1" ht="12.75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s="111" customFormat="1" ht="12.75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s="111" customFormat="1" ht="12.75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s="111" customFormat="1" ht="12.75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s="111" customFormat="1" ht="12.75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s="111" customFormat="1" ht="12.75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s="111" customFormat="1" ht="12.75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s="111" customFormat="1" ht="12.7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s="111" customFormat="1" ht="12.75">
      <c r="A81" s="109"/>
      <c r="B81" s="109"/>
      <c r="C81" s="109"/>
      <c r="D81" s="109"/>
      <c r="E81" s="109"/>
      <c r="F81" s="109"/>
      <c r="G81" s="109"/>
      <c r="H81" s="109"/>
      <c r="I81" s="109"/>
    </row>
    <row r="82" spans="1:9" s="111" customFormat="1" ht="12.75">
      <c r="A82" s="109"/>
      <c r="B82" s="109"/>
      <c r="C82" s="109"/>
      <c r="D82" s="109"/>
      <c r="E82" s="109"/>
      <c r="F82" s="109"/>
      <c r="G82" s="109"/>
      <c r="H82" s="109"/>
      <c r="I82" s="109"/>
    </row>
    <row r="83" spans="1:9" s="111" customFormat="1" ht="12.75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s="111" customFormat="1" ht="12.75">
      <c r="A84" s="109"/>
      <c r="B84" s="109"/>
      <c r="C84" s="109"/>
      <c r="D84" s="109"/>
      <c r="E84" s="109"/>
      <c r="F84" s="109"/>
      <c r="G84" s="109"/>
      <c r="H84" s="109"/>
      <c r="I84" s="109"/>
    </row>
    <row r="118" spans="1:9" s="117" customFormat="1" ht="12.75">
      <c r="A118" s="109"/>
      <c r="B118" s="109"/>
      <c r="C118" s="109"/>
      <c r="D118" s="109"/>
      <c r="E118" s="109"/>
      <c r="F118" s="109"/>
      <c r="G118" s="109"/>
      <c r="H118" s="109"/>
      <c r="I118" s="109"/>
    </row>
    <row r="119" spans="1:9" s="111" customFormat="1" ht="12.75">
      <c r="A119" s="109"/>
      <c r="B119" s="109"/>
      <c r="C119" s="109"/>
      <c r="D119" s="109"/>
      <c r="E119" s="109"/>
      <c r="F119" s="109"/>
      <c r="G119" s="109"/>
      <c r="H119" s="109"/>
      <c r="I119" s="109"/>
    </row>
    <row r="120" spans="1:9" s="111" customFormat="1" ht="12.75">
      <c r="A120" s="109"/>
      <c r="B120" s="109"/>
      <c r="C120" s="109"/>
      <c r="D120" s="109"/>
      <c r="E120" s="109"/>
      <c r="F120" s="109"/>
      <c r="G120" s="109"/>
      <c r="H120" s="109"/>
      <c r="I120" s="109"/>
    </row>
    <row r="121" spans="1:9" s="111" customFormat="1" ht="12.75">
      <c r="A121" s="109"/>
      <c r="B121" s="109"/>
      <c r="C121" s="109"/>
      <c r="D121" s="109"/>
      <c r="E121" s="109"/>
      <c r="F121" s="109"/>
      <c r="G121" s="109"/>
      <c r="H121" s="109"/>
      <c r="I121" s="109"/>
    </row>
    <row r="122" spans="1:9" s="111" customFormat="1" ht="12.75">
      <c r="A122" s="109"/>
      <c r="B122" s="109"/>
      <c r="C122" s="109"/>
      <c r="D122" s="109"/>
      <c r="E122" s="109"/>
      <c r="F122" s="109"/>
      <c r="G122" s="109"/>
      <c r="H122" s="109"/>
      <c r="I122" s="109"/>
    </row>
    <row r="123" spans="1:9" s="111" customFormat="1" ht="12.75">
      <c r="A123" s="109"/>
      <c r="B123" s="109"/>
      <c r="C123" s="109"/>
      <c r="D123" s="109"/>
      <c r="E123" s="109"/>
      <c r="F123" s="109"/>
      <c r="G123" s="109"/>
      <c r="H123" s="109"/>
      <c r="I123" s="109"/>
    </row>
    <row r="124" spans="1:9" s="111" customFormat="1" ht="12.75">
      <c r="A124" s="109"/>
      <c r="B124" s="109"/>
      <c r="C124" s="109"/>
      <c r="D124" s="109"/>
      <c r="E124" s="109"/>
      <c r="F124" s="109"/>
      <c r="G124" s="109"/>
      <c r="H124" s="109"/>
      <c r="I124" s="109"/>
    </row>
    <row r="125" spans="1:9" s="111" customFormat="1" ht="12.75">
      <c r="A125" s="109"/>
      <c r="B125" s="109"/>
      <c r="C125" s="109"/>
      <c r="D125" s="109"/>
      <c r="E125" s="109"/>
      <c r="F125" s="109"/>
      <c r="G125" s="109"/>
      <c r="H125" s="109"/>
      <c r="I125" s="109"/>
    </row>
    <row r="126" spans="1:9" s="111" customFormat="1" ht="12.75">
      <c r="A126" s="109"/>
      <c r="B126" s="109"/>
      <c r="C126" s="109"/>
      <c r="D126" s="109"/>
      <c r="E126" s="109"/>
      <c r="F126" s="109"/>
      <c r="G126" s="109"/>
      <c r="H126" s="109"/>
      <c r="I126" s="109"/>
    </row>
    <row r="127" spans="1:9" s="111" customFormat="1" ht="12.75">
      <c r="A127" s="109"/>
      <c r="B127" s="109"/>
      <c r="C127" s="109"/>
      <c r="D127" s="109"/>
      <c r="E127" s="109"/>
      <c r="F127" s="109"/>
      <c r="G127" s="109"/>
      <c r="H127" s="109"/>
      <c r="I127" s="109"/>
    </row>
    <row r="128" spans="1:9" s="111" customFormat="1" ht="12.75">
      <c r="A128" s="109"/>
      <c r="B128" s="109"/>
      <c r="C128" s="109"/>
      <c r="D128" s="109"/>
      <c r="E128" s="109"/>
      <c r="F128" s="109"/>
      <c r="G128" s="109"/>
      <c r="H128" s="109"/>
      <c r="I128" s="109"/>
    </row>
    <row r="129" spans="1:9" s="111" customFormat="1" ht="12.75">
      <c r="A129" s="109"/>
      <c r="B129" s="109"/>
      <c r="C129" s="109"/>
      <c r="D129" s="109"/>
      <c r="E129" s="109"/>
      <c r="F129" s="109"/>
      <c r="G129" s="109"/>
      <c r="H129" s="109"/>
      <c r="I129" s="109"/>
    </row>
    <row r="130" spans="1:9" s="111" customFormat="1" ht="12.75">
      <c r="A130" s="109"/>
      <c r="B130" s="109"/>
      <c r="C130" s="109"/>
      <c r="D130" s="109"/>
      <c r="E130" s="109"/>
      <c r="F130" s="109"/>
      <c r="G130" s="109"/>
      <c r="H130" s="109"/>
      <c r="I130" s="109"/>
    </row>
    <row r="131" spans="1:9" s="111" customFormat="1" ht="12.75">
      <c r="A131" s="109"/>
      <c r="B131" s="109"/>
      <c r="C131" s="109"/>
      <c r="D131" s="109"/>
      <c r="E131" s="109"/>
      <c r="F131" s="109"/>
      <c r="G131" s="109"/>
      <c r="H131" s="109"/>
      <c r="I131" s="109"/>
    </row>
    <row r="132" spans="1:9" s="111" customFormat="1" ht="12.75">
      <c r="A132" s="109"/>
      <c r="B132" s="109"/>
      <c r="C132" s="109"/>
      <c r="D132" s="109"/>
      <c r="E132" s="109"/>
      <c r="F132" s="109"/>
      <c r="G132" s="109"/>
      <c r="H132" s="109"/>
      <c r="I132" s="109"/>
    </row>
    <row r="133" spans="1:9" s="111" customFormat="1" ht="12.75">
      <c r="A133" s="109"/>
      <c r="B133" s="109"/>
      <c r="C133" s="109"/>
      <c r="D133" s="109"/>
      <c r="E133" s="109"/>
      <c r="F133" s="109"/>
      <c r="G133" s="109"/>
      <c r="H133" s="109"/>
      <c r="I133" s="109"/>
    </row>
    <row r="134" spans="1:9" s="111" customFormat="1" ht="12.75">
      <c r="A134" s="109"/>
      <c r="B134" s="109"/>
      <c r="C134" s="109"/>
      <c r="D134" s="109"/>
      <c r="E134" s="109"/>
      <c r="F134" s="109"/>
      <c r="G134" s="109"/>
      <c r="H134" s="109"/>
      <c r="I134" s="109"/>
    </row>
    <row r="135" spans="1:9" s="111" customFormat="1" ht="12.75">
      <c r="A135" s="109"/>
      <c r="B135" s="109"/>
      <c r="C135" s="109"/>
      <c r="D135" s="109"/>
      <c r="E135" s="109"/>
      <c r="F135" s="109"/>
      <c r="G135" s="109"/>
      <c r="H135" s="109"/>
      <c r="I135" s="109"/>
    </row>
    <row r="136" spans="1:9" s="111" customFormat="1" ht="12.75">
      <c r="A136" s="109"/>
      <c r="B136" s="109"/>
      <c r="C136" s="109"/>
      <c r="D136" s="109"/>
      <c r="E136" s="109"/>
      <c r="F136" s="109"/>
      <c r="G136" s="109"/>
      <c r="H136" s="109"/>
      <c r="I136" s="109"/>
    </row>
    <row r="137" spans="1:9" s="111" customFormat="1" ht="12.75">
      <c r="A137" s="109"/>
      <c r="B137" s="109"/>
      <c r="C137" s="109"/>
      <c r="D137" s="109"/>
      <c r="E137" s="109"/>
      <c r="F137" s="109"/>
      <c r="G137" s="109"/>
      <c r="H137" s="109"/>
      <c r="I137" s="109"/>
    </row>
    <row r="138" spans="1:9" s="111" customFormat="1" ht="12.75">
      <c r="A138" s="109"/>
      <c r="B138" s="109"/>
      <c r="C138" s="109"/>
      <c r="D138" s="109"/>
      <c r="E138" s="109"/>
      <c r="F138" s="109"/>
      <c r="G138" s="109"/>
      <c r="H138" s="109"/>
      <c r="I138" s="109"/>
    </row>
    <row r="139" spans="1:9" s="111" customFormat="1" ht="12.75">
      <c r="A139" s="109"/>
      <c r="B139" s="109"/>
      <c r="C139" s="109"/>
      <c r="D139" s="109"/>
      <c r="E139" s="109"/>
      <c r="F139" s="109"/>
      <c r="G139" s="109"/>
      <c r="H139" s="109"/>
      <c r="I139" s="109"/>
    </row>
    <row r="140" spans="1:9" s="111" customFormat="1" ht="12.75">
      <c r="A140" s="109"/>
      <c r="B140" s="109"/>
      <c r="C140" s="109"/>
      <c r="D140" s="109"/>
      <c r="E140" s="109"/>
      <c r="F140" s="109"/>
      <c r="G140" s="109"/>
      <c r="H140" s="109"/>
      <c r="I140" s="109"/>
    </row>
    <row r="141" spans="1:9" s="111" customFormat="1" ht="12.75">
      <c r="A141" s="109"/>
      <c r="B141" s="109"/>
      <c r="C141" s="109"/>
      <c r="D141" s="109"/>
      <c r="E141" s="109"/>
      <c r="F141" s="109"/>
      <c r="G141" s="109"/>
      <c r="H141" s="109"/>
      <c r="I141" s="109"/>
    </row>
    <row r="142" spans="1:9" s="111" customFormat="1" ht="12.75">
      <c r="A142" s="109"/>
      <c r="B142" s="109"/>
      <c r="C142" s="109"/>
      <c r="D142" s="109"/>
      <c r="E142" s="109"/>
      <c r="F142" s="109"/>
      <c r="G142" s="109"/>
      <c r="H142" s="109"/>
      <c r="I142" s="109"/>
    </row>
    <row r="143" spans="1:9" s="118" customFormat="1" ht="12.75">
      <c r="A143" s="109"/>
      <c r="B143" s="109"/>
      <c r="C143" s="109"/>
      <c r="D143" s="109"/>
      <c r="E143" s="109"/>
      <c r="F143" s="109"/>
      <c r="G143" s="109"/>
      <c r="H143" s="109"/>
      <c r="I143" s="109"/>
    </row>
    <row r="144" spans="1:9" s="111" customFormat="1" ht="12.75">
      <c r="A144" s="109"/>
      <c r="B144" s="109"/>
      <c r="C144" s="109"/>
      <c r="D144" s="109"/>
      <c r="E144" s="109"/>
      <c r="F144" s="109"/>
      <c r="G144" s="109"/>
      <c r="H144" s="109"/>
      <c r="I144" s="109"/>
    </row>
    <row r="145" spans="1:9" s="111" customFormat="1" ht="12.75">
      <c r="A145" s="109"/>
      <c r="B145" s="109"/>
      <c r="C145" s="109"/>
      <c r="D145" s="109"/>
      <c r="E145" s="109"/>
      <c r="F145" s="109"/>
      <c r="G145" s="109"/>
      <c r="H145" s="109"/>
      <c r="I145" s="109"/>
    </row>
    <row r="146" spans="1:9" s="111" customFormat="1" ht="12.75">
      <c r="A146" s="109"/>
      <c r="B146" s="109"/>
      <c r="C146" s="109"/>
      <c r="D146" s="109"/>
      <c r="E146" s="109"/>
      <c r="F146" s="109"/>
      <c r="G146" s="109"/>
      <c r="H146" s="109"/>
      <c r="I146" s="109"/>
    </row>
    <row r="147" spans="1:9" s="111" customFormat="1" ht="12.75">
      <c r="A147" s="109"/>
      <c r="B147" s="109"/>
      <c r="C147" s="109"/>
      <c r="D147" s="109"/>
      <c r="E147" s="109"/>
      <c r="F147" s="109"/>
      <c r="G147" s="109"/>
      <c r="H147" s="109"/>
      <c r="I147" s="109"/>
    </row>
    <row r="148" spans="1:9" s="111" customFormat="1" ht="12.75">
      <c r="A148" s="109"/>
      <c r="B148" s="109"/>
      <c r="C148" s="109"/>
      <c r="D148" s="109"/>
      <c r="E148" s="109"/>
      <c r="F148" s="109"/>
      <c r="G148" s="109"/>
      <c r="H148" s="109"/>
      <c r="I148" s="109"/>
    </row>
    <row r="149" spans="1:9" s="111" customFormat="1" ht="12.75">
      <c r="A149" s="109"/>
      <c r="B149" s="109"/>
      <c r="C149" s="109"/>
      <c r="D149" s="109"/>
      <c r="E149" s="109"/>
      <c r="F149" s="109"/>
      <c r="G149" s="109"/>
      <c r="H149" s="109"/>
      <c r="I149" s="109"/>
    </row>
    <row r="150" spans="1:9" s="111" customFormat="1" ht="12.75">
      <c r="A150" s="109"/>
      <c r="B150" s="109"/>
      <c r="C150" s="109"/>
      <c r="D150" s="109"/>
      <c r="E150" s="109"/>
      <c r="F150" s="109"/>
      <c r="G150" s="109"/>
      <c r="H150" s="109"/>
      <c r="I150" s="109"/>
    </row>
    <row r="151" spans="1:9" s="111" customFormat="1" ht="12.75">
      <c r="A151" s="109"/>
      <c r="B151" s="109"/>
      <c r="C151" s="109"/>
      <c r="D151" s="109"/>
      <c r="E151" s="109"/>
      <c r="F151" s="109"/>
      <c r="G151" s="109"/>
      <c r="H151" s="109"/>
      <c r="I151" s="109"/>
    </row>
    <row r="152" spans="1:9" s="111" customFormat="1" ht="12.75">
      <c r="A152" s="109"/>
      <c r="B152" s="109"/>
      <c r="C152" s="109"/>
      <c r="D152" s="109"/>
      <c r="E152" s="109"/>
      <c r="F152" s="109"/>
      <c r="G152" s="109"/>
      <c r="H152" s="109"/>
      <c r="I152" s="109"/>
    </row>
    <row r="153" spans="1:9" s="111" customFormat="1" ht="12.75">
      <c r="A153" s="109"/>
      <c r="B153" s="109"/>
      <c r="C153" s="109"/>
      <c r="D153" s="109"/>
      <c r="E153" s="109"/>
      <c r="F153" s="109"/>
      <c r="G153" s="109"/>
      <c r="H153" s="109"/>
      <c r="I153" s="109"/>
    </row>
    <row r="154" spans="1:9" s="111" customFormat="1" ht="12.75">
      <c r="A154" s="109"/>
      <c r="B154" s="109"/>
      <c r="C154" s="109"/>
      <c r="D154" s="109"/>
      <c r="E154" s="109"/>
      <c r="F154" s="109"/>
      <c r="G154" s="109"/>
      <c r="H154" s="109"/>
      <c r="I154" s="109"/>
    </row>
    <row r="155" spans="1:9" s="111" customFormat="1" ht="12.75">
      <c r="A155" s="109"/>
      <c r="B155" s="109"/>
      <c r="C155" s="109"/>
      <c r="D155" s="109"/>
      <c r="E155" s="109"/>
      <c r="F155" s="109"/>
      <c r="G155" s="109"/>
      <c r="H155" s="109"/>
      <c r="I155" s="109"/>
    </row>
    <row r="156" spans="1:9" s="111" customFormat="1" ht="12.75">
      <c r="A156" s="109"/>
      <c r="B156" s="109"/>
      <c r="C156" s="109"/>
      <c r="D156" s="109"/>
      <c r="E156" s="109"/>
      <c r="F156" s="109"/>
      <c r="G156" s="109"/>
      <c r="H156" s="109"/>
      <c r="I156" s="109"/>
    </row>
    <row r="157" spans="1:9" s="111" customFormat="1" ht="12.75">
      <c r="A157" s="109"/>
      <c r="B157" s="109"/>
      <c r="C157" s="109"/>
      <c r="D157" s="109"/>
      <c r="E157" s="109"/>
      <c r="F157" s="109"/>
      <c r="G157" s="109"/>
      <c r="H157" s="109"/>
      <c r="I157" s="109"/>
    </row>
    <row r="158" spans="1:9" s="111" customFormat="1" ht="12.75">
      <c r="A158" s="109"/>
      <c r="B158" s="109"/>
      <c r="C158" s="109"/>
      <c r="D158" s="109"/>
      <c r="E158" s="109"/>
      <c r="F158" s="109"/>
      <c r="G158" s="109"/>
      <c r="H158" s="109"/>
      <c r="I158" s="109"/>
    </row>
    <row r="159" spans="1:9" s="111" customFormat="1" ht="12.75">
      <c r="A159" s="109"/>
      <c r="B159" s="109"/>
      <c r="C159" s="109"/>
      <c r="D159" s="109"/>
      <c r="E159" s="109"/>
      <c r="F159" s="109"/>
      <c r="G159" s="109"/>
      <c r="H159" s="109"/>
      <c r="I159" s="109"/>
    </row>
    <row r="160" spans="1:9" s="111" customFormat="1" ht="12.75">
      <c r="A160" s="109"/>
      <c r="B160" s="109"/>
      <c r="C160" s="109"/>
      <c r="D160" s="109"/>
      <c r="E160" s="109"/>
      <c r="F160" s="109"/>
      <c r="G160" s="109"/>
      <c r="H160" s="109"/>
      <c r="I160" s="109"/>
    </row>
    <row r="161" spans="1:9" s="111" customFormat="1" ht="12.75">
      <c r="A161" s="109"/>
      <c r="B161" s="109"/>
      <c r="C161" s="109"/>
      <c r="D161" s="109"/>
      <c r="E161" s="109"/>
      <c r="F161" s="109"/>
      <c r="G161" s="109"/>
      <c r="H161" s="109"/>
      <c r="I161" s="109"/>
    </row>
    <row r="162" spans="1:9" s="111" customFormat="1" ht="12.75">
      <c r="A162" s="109"/>
      <c r="B162" s="109"/>
      <c r="C162" s="109"/>
      <c r="D162" s="109"/>
      <c r="E162" s="109"/>
      <c r="F162" s="109"/>
      <c r="G162" s="109"/>
      <c r="H162" s="109"/>
      <c r="I162" s="109"/>
    </row>
    <row r="163" spans="1:9" s="111" customFormat="1" ht="12.75">
      <c r="A163" s="109"/>
      <c r="B163" s="109"/>
      <c r="C163" s="109"/>
      <c r="D163" s="109"/>
      <c r="E163" s="109"/>
      <c r="F163" s="109"/>
      <c r="G163" s="109"/>
      <c r="H163" s="109"/>
      <c r="I163" s="109"/>
    </row>
    <row r="164" spans="1:9" s="111" customFormat="1" ht="12.75">
      <c r="A164" s="109"/>
      <c r="B164" s="109"/>
      <c r="C164" s="109"/>
      <c r="D164" s="109"/>
      <c r="E164" s="109"/>
      <c r="F164" s="109"/>
      <c r="G164" s="109"/>
      <c r="H164" s="109"/>
      <c r="I164" s="109"/>
    </row>
    <row r="165" spans="1:9" s="111" customFormat="1" ht="12.75">
      <c r="A165" s="109"/>
      <c r="B165" s="109"/>
      <c r="C165" s="109"/>
      <c r="D165" s="109"/>
      <c r="E165" s="109"/>
      <c r="F165" s="109"/>
      <c r="G165" s="109"/>
      <c r="H165" s="109"/>
      <c r="I165" s="109"/>
    </row>
    <row r="166" spans="1:9" s="111" customFormat="1" ht="12.75">
      <c r="A166" s="109"/>
      <c r="B166" s="109"/>
      <c r="C166" s="109"/>
      <c r="D166" s="109"/>
      <c r="E166" s="109"/>
      <c r="F166" s="109"/>
      <c r="G166" s="109"/>
      <c r="H166" s="109"/>
      <c r="I166" s="109"/>
    </row>
    <row r="167" spans="1:9" s="111" customFormat="1" ht="12.75">
      <c r="A167" s="109"/>
      <c r="B167" s="109"/>
      <c r="C167" s="109"/>
      <c r="D167" s="109"/>
      <c r="E167" s="109"/>
      <c r="F167" s="109"/>
      <c r="G167" s="109"/>
      <c r="H167" s="109"/>
      <c r="I167" s="109"/>
    </row>
    <row r="168" spans="1:9" s="111" customFormat="1" ht="12.75">
      <c r="A168" s="109"/>
      <c r="B168" s="109"/>
      <c r="C168" s="109"/>
      <c r="D168" s="109"/>
      <c r="E168" s="109"/>
      <c r="F168" s="109"/>
      <c r="G168" s="109"/>
      <c r="H168" s="109"/>
      <c r="I168" s="109"/>
    </row>
    <row r="169" spans="1:9" s="111" customFormat="1" ht="12.75">
      <c r="A169" s="109"/>
      <c r="B169" s="109"/>
      <c r="C169" s="109"/>
      <c r="D169" s="109"/>
      <c r="E169" s="109"/>
      <c r="F169" s="109"/>
      <c r="G169" s="109"/>
      <c r="H169" s="109"/>
      <c r="I169" s="109"/>
    </row>
    <row r="170" spans="1:9" s="111" customFormat="1" ht="12.75">
      <c r="A170" s="109"/>
      <c r="B170" s="109"/>
      <c r="C170" s="109"/>
      <c r="D170" s="109"/>
      <c r="E170" s="109"/>
      <c r="F170" s="109"/>
      <c r="G170" s="109"/>
      <c r="H170" s="109"/>
      <c r="I170" s="109"/>
    </row>
    <row r="171" spans="1:9" s="111" customFormat="1" ht="12.75">
      <c r="A171" s="109"/>
      <c r="B171" s="109"/>
      <c r="C171" s="109"/>
      <c r="D171" s="109"/>
      <c r="E171" s="109"/>
      <c r="F171" s="109"/>
      <c r="G171" s="109"/>
      <c r="H171" s="109"/>
      <c r="I171" s="109"/>
    </row>
    <row r="172" spans="1:9" s="111" customFormat="1" ht="12.75">
      <c r="A172" s="109"/>
      <c r="B172" s="109"/>
      <c r="C172" s="109"/>
      <c r="D172" s="109"/>
      <c r="E172" s="109"/>
      <c r="F172" s="109"/>
      <c r="G172" s="109"/>
      <c r="H172" s="109"/>
      <c r="I172" s="109"/>
    </row>
    <row r="173" spans="1:9" s="111" customFormat="1" ht="12.75">
      <c r="A173" s="109"/>
      <c r="B173" s="109"/>
      <c r="C173" s="109"/>
      <c r="D173" s="109"/>
      <c r="E173" s="109"/>
      <c r="F173" s="109"/>
      <c r="G173" s="109"/>
      <c r="H173" s="109"/>
      <c r="I173" s="109"/>
    </row>
    <row r="174" spans="1:9" s="111" customFormat="1" ht="12.75">
      <c r="A174" s="109"/>
      <c r="B174" s="109"/>
      <c r="C174" s="109"/>
      <c r="D174" s="109"/>
      <c r="E174" s="109"/>
      <c r="F174" s="109"/>
      <c r="G174" s="109"/>
      <c r="H174" s="109"/>
      <c r="I174" s="109"/>
    </row>
    <row r="175" spans="1:9" s="111" customFormat="1" ht="12.75">
      <c r="A175" s="109"/>
      <c r="B175" s="109"/>
      <c r="C175" s="109"/>
      <c r="D175" s="109"/>
      <c r="E175" s="109"/>
      <c r="F175" s="109"/>
      <c r="G175" s="109"/>
      <c r="H175" s="109"/>
      <c r="I175" s="109"/>
    </row>
    <row r="176" spans="1:9" s="111" customFormat="1" ht="12.75">
      <c r="A176" s="109"/>
      <c r="B176" s="109"/>
      <c r="C176" s="109"/>
      <c r="D176" s="109"/>
      <c r="E176" s="109"/>
      <c r="F176" s="109"/>
      <c r="G176" s="109"/>
      <c r="H176" s="109"/>
      <c r="I176" s="109"/>
    </row>
    <row r="177" spans="1:9" s="111" customFormat="1" ht="12.75">
      <c r="A177" s="109"/>
      <c r="B177" s="109"/>
      <c r="C177" s="109"/>
      <c r="D177" s="109"/>
      <c r="E177" s="109"/>
      <c r="F177" s="109"/>
      <c r="G177" s="109"/>
      <c r="H177" s="109"/>
      <c r="I177" s="109"/>
    </row>
    <row r="178" spans="1:9" s="111" customFormat="1" ht="12.75">
      <c r="A178" s="109"/>
      <c r="B178" s="109"/>
      <c r="C178" s="109"/>
      <c r="D178" s="109"/>
      <c r="E178" s="109"/>
      <c r="F178" s="109"/>
      <c r="G178" s="109"/>
      <c r="H178" s="109"/>
      <c r="I178" s="109"/>
    </row>
  </sheetData>
  <hyperlinks>
    <hyperlink ref="A15" r:id="rId1" display="http://bostonwhaler.com/rec/pdfs/performance/19.pdf"/>
  </hyperlinks>
  <printOptions/>
  <pageMargins left="0.25" right="0.25" top="0.25" bottom="0.2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showboatsTEST</dc:title>
  <dc:subject/>
  <dc:creator/>
  <cp:keywords/>
  <dc:description/>
  <cp:lastModifiedBy>paul burke</cp:lastModifiedBy>
  <cp:lastPrinted>2008-04-25T02:08:41Z</cp:lastPrinted>
  <dcterms:created xsi:type="dcterms:W3CDTF">2007-05-23T17:04:28Z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